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620" activeTab="0"/>
  </bookViews>
  <sheets>
    <sheet name="ravvedimento operoso" sheetId="1" r:id="rId1"/>
  </sheets>
  <definedNames>
    <definedName name="_xlnm.Print_Area" localSheetId="0">'ravvedimento operoso'!$E$25:$AB$71</definedName>
    <definedName name="Z_529DBD09_ED74_4644_A816_1EAF875CC519_.wvu.FilterData" localSheetId="0" hidden="1">'ravvedimento operoso'!$A$104:$B$481</definedName>
    <definedName name="Z_529DBD09_ED74_4644_A816_1EAF875CC519_.wvu.PrintArea" localSheetId="0" hidden="1">'ravvedimento operoso'!$E$25:$AB$71</definedName>
  </definedNames>
  <calcPr fullCalcOnLoad="1"/>
</workbook>
</file>

<file path=xl/comments1.xml><?xml version="1.0" encoding="utf-8"?>
<comments xmlns="http://schemas.openxmlformats.org/spreadsheetml/2006/main">
  <authors>
    <author>Piercarlo Schiavello</author>
  </authors>
  <commentList>
    <comment ref="EA108" authorId="0">
      <text>
        <r>
          <rPr>
            <sz val="9"/>
            <rFont val="Tahoma"/>
            <family val="2"/>
          </rPr>
          <t>foglio attivo</t>
        </r>
      </text>
    </comment>
    <comment ref="EB108" authorId="0">
      <text>
        <r>
          <rPr>
            <sz val="9"/>
            <rFont val="Tahoma"/>
            <family val="2"/>
          </rPr>
          <t>vero/falso
om.vers.</t>
        </r>
      </text>
    </comment>
    <comment ref="EC108" authorId="0">
      <text>
        <r>
          <rPr>
            <b/>
            <sz val="9"/>
            <rFont val="Tahoma"/>
            <family val="0"/>
          </rPr>
          <t>cTrib</t>
        </r>
      </text>
    </comment>
    <comment ref="EA142" authorId="0">
      <text>
        <r>
          <rPr>
            <sz val="9"/>
            <rFont val="Tahoma"/>
            <family val="2"/>
          </rPr>
          <t>foglio attivo</t>
        </r>
      </text>
    </comment>
    <comment ref="EB142" authorId="0">
      <text>
        <r>
          <rPr>
            <sz val="9"/>
            <rFont val="Tahoma"/>
            <family val="2"/>
          </rPr>
          <t>vero/falso
om.vers.</t>
        </r>
      </text>
    </comment>
    <comment ref="EC142" authorId="0">
      <text>
        <r>
          <rPr>
            <b/>
            <sz val="9"/>
            <rFont val="Tahoma"/>
            <family val="0"/>
          </rPr>
          <t>cTrib</t>
        </r>
      </text>
    </comment>
    <comment ref="EA176" authorId="0">
      <text>
        <r>
          <rPr>
            <sz val="9"/>
            <rFont val="Tahoma"/>
            <family val="2"/>
          </rPr>
          <t>foglio attivo</t>
        </r>
      </text>
    </comment>
    <comment ref="EB176" authorId="0">
      <text>
        <r>
          <rPr>
            <sz val="9"/>
            <rFont val="Tahoma"/>
            <family val="2"/>
          </rPr>
          <t>vero/falso
om.vers.</t>
        </r>
      </text>
    </comment>
    <comment ref="EC176" authorId="0">
      <text>
        <r>
          <rPr>
            <b/>
            <sz val="9"/>
            <rFont val="Tahoma"/>
            <family val="0"/>
          </rPr>
          <t>cTrib</t>
        </r>
      </text>
    </comment>
    <comment ref="EA210" authorId="0">
      <text>
        <r>
          <rPr>
            <sz val="9"/>
            <rFont val="Tahoma"/>
            <family val="2"/>
          </rPr>
          <t>foglio attivo</t>
        </r>
      </text>
    </comment>
    <comment ref="EB210" authorId="0">
      <text>
        <r>
          <rPr>
            <sz val="9"/>
            <rFont val="Tahoma"/>
            <family val="2"/>
          </rPr>
          <t>vero/falso
dich.infed.</t>
        </r>
      </text>
    </comment>
    <comment ref="EC210" authorId="0">
      <text>
        <r>
          <rPr>
            <b/>
            <sz val="9"/>
            <rFont val="Tahoma"/>
            <family val="0"/>
          </rPr>
          <t>cTrib</t>
        </r>
      </text>
    </comment>
    <comment ref="EA244" authorId="0">
      <text>
        <r>
          <rPr>
            <sz val="9"/>
            <rFont val="Tahoma"/>
            <family val="2"/>
          </rPr>
          <t>foglio attivo</t>
        </r>
      </text>
    </comment>
    <comment ref="EC244" authorId="0">
      <text>
        <r>
          <rPr>
            <b/>
            <sz val="9"/>
            <rFont val="Tahoma"/>
            <family val="0"/>
          </rPr>
          <t>cTrib</t>
        </r>
      </text>
    </comment>
    <comment ref="EA278" authorId="0">
      <text>
        <r>
          <rPr>
            <sz val="9"/>
            <rFont val="Tahoma"/>
            <family val="2"/>
          </rPr>
          <t>foglio attivo</t>
        </r>
      </text>
    </comment>
    <comment ref="EC278" authorId="0">
      <text>
        <r>
          <rPr>
            <b/>
            <sz val="9"/>
            <rFont val="Tahoma"/>
            <family val="0"/>
          </rPr>
          <t>cTrib</t>
        </r>
      </text>
    </comment>
    <comment ref="EA312" authorId="0">
      <text>
        <r>
          <rPr>
            <sz val="9"/>
            <rFont val="Tahoma"/>
            <family val="2"/>
          </rPr>
          <t>foglio attivo</t>
        </r>
      </text>
    </comment>
    <comment ref="EC312" authorId="0">
      <text>
        <r>
          <rPr>
            <b/>
            <sz val="9"/>
            <rFont val="Tahoma"/>
            <family val="0"/>
          </rPr>
          <t>cTrib</t>
        </r>
      </text>
    </comment>
    <comment ref="EA346" authorId="0">
      <text>
        <r>
          <rPr>
            <sz val="9"/>
            <rFont val="Tahoma"/>
            <family val="2"/>
          </rPr>
          <t>foglio attivo</t>
        </r>
      </text>
    </comment>
    <comment ref="EC346" authorId="0">
      <text>
        <r>
          <rPr>
            <b/>
            <sz val="9"/>
            <rFont val="Tahoma"/>
            <family val="0"/>
          </rPr>
          <t>cTrib</t>
        </r>
      </text>
    </comment>
    <comment ref="EA380" authorId="0">
      <text>
        <r>
          <rPr>
            <sz val="9"/>
            <rFont val="Tahoma"/>
            <family val="2"/>
          </rPr>
          <t>foglio attivo</t>
        </r>
      </text>
    </comment>
    <comment ref="EB380" authorId="0">
      <text>
        <r>
          <rPr>
            <sz val="9"/>
            <rFont val="Tahoma"/>
            <family val="2"/>
          </rPr>
          <t>vero/falso
om.vers.</t>
        </r>
      </text>
    </comment>
    <comment ref="EC380" authorId="0">
      <text>
        <r>
          <rPr>
            <b/>
            <sz val="9"/>
            <rFont val="Tahoma"/>
            <family val="0"/>
          </rPr>
          <t>cTrib</t>
        </r>
      </text>
    </comment>
  </commentList>
</comments>
</file>

<file path=xl/sharedStrings.xml><?xml version="1.0" encoding="utf-8"?>
<sst xmlns="http://schemas.openxmlformats.org/spreadsheetml/2006/main" count="906" uniqueCount="299">
  <si>
    <t>Contribuente</t>
  </si>
  <si>
    <t>(facoltativo, se inserito viene stampato nel fac-simile del modello):</t>
  </si>
  <si>
    <t>Tipo d'imposta</t>
  </si>
  <si>
    <t>--scegli il tipo d'imposta --►</t>
  </si>
  <si>
    <t>Codice tributo</t>
  </si>
  <si>
    <t>--scegli il codice tributo --►</t>
  </si>
  <si>
    <t xml:space="preserve">min </t>
  </si>
  <si>
    <t>data del ravvedimento</t>
  </si>
  <si>
    <t xml:space="preserve">max </t>
  </si>
  <si>
    <t>no</t>
  </si>
  <si>
    <t>GG DI RITARDO</t>
  </si>
  <si>
    <t>OMESSO VERSAMENTO</t>
  </si>
  <si>
    <t>SANZIONE</t>
  </si>
  <si>
    <t>INTERESSI</t>
  </si>
  <si>
    <t xml:space="preserve"> </t>
  </si>
  <si>
    <t>RAVVEDIMENTO OPEROSO</t>
  </si>
  <si>
    <t>codice tributo</t>
  </si>
  <si>
    <t>anno</t>
  </si>
  <si>
    <t>imp.a debito</t>
  </si>
  <si>
    <t>intero contratto 4 anni</t>
  </si>
  <si>
    <t>Riepilogo</t>
  </si>
  <si>
    <t>GG. DI RITARDO DAL</t>
  </si>
  <si>
    <t>AL</t>
  </si>
  <si>
    <t>di</t>
  </si>
  <si>
    <t>cTrib</t>
  </si>
  <si>
    <t>TIPO IMPOSTA</t>
  </si>
  <si>
    <t>C.TRIB</t>
  </si>
  <si>
    <t>ELENCO 1</t>
  </si>
  <si>
    <t>ELENCO 2</t>
  </si>
  <si>
    <t>CODICI SCELTI</t>
  </si>
  <si>
    <t>RIEPILOGO</t>
  </si>
  <si>
    <t>infed.dich.</t>
  </si>
  <si>
    <t>TRIB</t>
  </si>
  <si>
    <t>Sez</t>
  </si>
  <si>
    <t>SANZ</t>
  </si>
  <si>
    <t>Ts1</t>
  </si>
  <si>
    <t>INT</t>
  </si>
  <si>
    <t>MM</t>
  </si>
  <si>
    <t>AAAA</t>
  </si>
  <si>
    <t>Ts2</t>
  </si>
  <si>
    <t>mm</t>
  </si>
  <si>
    <t>cTrib 1992</t>
  </si>
  <si>
    <t>maggiorazione redditi esteri</t>
  </si>
  <si>
    <t>IVA e BOLLO</t>
  </si>
  <si>
    <t>TRIBUTO</t>
  </si>
  <si>
    <t>Tipo Sanz</t>
  </si>
  <si>
    <t>Versione</t>
  </si>
  <si>
    <t>IMPOSTE DIRETTE</t>
  </si>
  <si>
    <t>Tsz</t>
  </si>
  <si>
    <t>v/f</t>
  </si>
  <si>
    <t>IMPOSTE SOSTITUTIVE</t>
  </si>
  <si>
    <t>SOSTITUTI</t>
  </si>
  <si>
    <t>MIN</t>
  </si>
  <si>
    <t>6001 - Iva di Gennaio</t>
  </si>
  <si>
    <t>8904</t>
  </si>
  <si>
    <t>imposte amministrate dall'AdE - oltre la dichiarazione del 2� anno successivo</t>
  </si>
  <si>
    <t>INFEDELE DICHIARAZIONE</t>
  </si>
  <si>
    <t>MAX</t>
  </si>
  <si>
    <t>6002 - Iva di Febbraio</t>
  </si>
  <si>
    <t>imposte amministrate dall'AdE - entro la dichiarazione del 2� anno successivo</t>
  </si>
  <si>
    <t>RATE 36bis/36ter, CCIAA, CCGG, RIVAL.PARTEC./TERRENI</t>
  </si>
  <si>
    <t>6003 - Iva di Marzo</t>
  </si>
  <si>
    <t>imposte amministrate dall'AdE - entro la dichiarazione dell'anno successivo</t>
  </si>
  <si>
    <t>IMU, TASI, TARI</t>
  </si>
  <si>
    <t>6004 - Iva di Aprile</t>
  </si>
  <si>
    <t>imposte amministrate dall'AdE - entro 90gg dalla dichiarazione dell'anno</t>
  </si>
  <si>
    <t>LOCAZIONI e II.II. CON F24</t>
  </si>
  <si>
    <t>6005 - Iva di Maggio</t>
  </si>
  <si>
    <t>scadenza presentazione dichiarazione dell'anno</t>
  </si>
  <si>
    <t>ALTRE II.II. CON F23</t>
  </si>
  <si>
    <t>6006 - Iva di Giugno</t>
  </si>
  <si>
    <t>6007 - Iva di Luglio</t>
  </si>
  <si>
    <t>6008 - Iva di Agosto</t>
  </si>
  <si>
    <t>6009 - Iva di Settembre</t>
  </si>
  <si>
    <t>6010 - Iva di Ottobre</t>
  </si>
  <si>
    <t>6011 - Iva di Novembre</t>
  </si>
  <si>
    <t>6012 - Iva di Dicembre</t>
  </si>
  <si>
    <t>GIORNO SETTIMANA</t>
  </si>
  <si>
    <t>6013 - Iva Acconto Mensili</t>
  </si>
  <si>
    <t>DT OM</t>
  </si>
  <si>
    <t>DT VERS</t>
  </si>
  <si>
    <t>6031 - Iva 1� Trimestre</t>
  </si>
  <si>
    <t>6032 - Iva 2� Trimestre</t>
  </si>
  <si>
    <t>6033 - Iva 3� Trimestre</t>
  </si>
  <si>
    <t>6035 - Iva Acconto Trimestrali</t>
  </si>
  <si>
    <t>6099 - Iva Annuale Saldo</t>
  </si>
  <si>
    <t>6494 - Iva per Adeguamento Studi di Settore</t>
  </si>
  <si>
    <t>a=</t>
  </si>
  <si>
    <t>2521 - Bollo su Fatture Elettroniche 1� Trim</t>
  </si>
  <si>
    <t>b=</t>
  </si>
  <si>
    <t>2522 - Bollo su Fatture Elettroniche 2� Trim</t>
  </si>
  <si>
    <t>c=</t>
  </si>
  <si>
    <t>2523 - Bollo su Fatture Elettroniche 3� Trim</t>
  </si>
  <si>
    <t>d=</t>
  </si>
  <si>
    <t>e=</t>
  </si>
  <si>
    <t>gg</t>
  </si>
  <si>
    <t>GIORNO</t>
  </si>
  <si>
    <t>SAB/DOM</t>
  </si>
  <si>
    <t>GG LAV</t>
  </si>
  <si>
    <t>D.Lgs. 472/97, art. 13, c. 1, lett. a)</t>
  </si>
  <si>
    <t>D.Lgs. 472/97, art. 13, c. 1, lett. a-bis)</t>
  </si>
  <si>
    <t>D.Lgs. 472/97, art. 13, c. 1, lett. b)</t>
  </si>
  <si>
    <t>D.Lgs. 472/97, art. 13, c. 1, lett. b-bis)</t>
  </si>
  <si>
    <t>D.Lgs. 472/97, art. 13, c. 1, lett. b-ter)</t>
  </si>
  <si>
    <t>SANZIONI</t>
  </si>
  <si>
    <t>Sanzione Piena</t>
  </si>
  <si>
    <t>Ravv Sprint</t>
  </si>
  <si>
    <t>Ravv Breve</t>
  </si>
  <si>
    <t>Ravv Intermedio</t>
  </si>
  <si>
    <t>Ravv Lungo</t>
  </si>
  <si>
    <t>Ravv Lunghissimo 2</t>
  </si>
  <si>
    <t>Ravv Lunghissimo &gt;2</t>
  </si>
  <si>
    <t>DT OMISS</t>
  </si>
  <si>
    <t>RAVVEDIM</t>
  </si>
  <si>
    <t>FINO AL</t>
  </si>
  <si>
    <t>s/n</t>
  </si>
  <si>
    <t>tipo</t>
  </si>
  <si>
    <t>% Sanz Base</t>
  </si>
  <si>
    <t>gg max</t>
  </si>
  <si>
    <t>Sz Base</t>
  </si>
  <si>
    <t>%/gg</t>
  </si>
  <si>
    <t>% Sanz</t>
  </si>
  <si>
    <t>riduz</t>
  </si>
  <si>
    <t>Sz Minima</t>
  </si>
  <si>
    <t>anno precedente</t>
  </si>
  <si>
    <t>2001 - IRES 1� Acconto</t>
  </si>
  <si>
    <t>si</t>
  </si>
  <si>
    <t>2002 - IRES 2� Acconto</t>
  </si>
  <si>
    <t>2003 - IRES Saldo</t>
  </si>
  <si>
    <t>4001 - IRPEF Saldo</t>
  </si>
  <si>
    <t>4033 - IRPEF 1� Acconto</t>
  </si>
  <si>
    <t>4034 - IRPEF 2� Acconto</t>
  </si>
  <si>
    <t>scadenza presentazione dichiarazione dell'anno + 90gg</t>
  </si>
  <si>
    <t>3800 - IRAP Saldo</t>
  </si>
  <si>
    <t>Sz Min Base</t>
  </si>
  <si>
    <t>Sz Min Arr</t>
  </si>
  <si>
    <t>3812 - IRAP 1� Acconto</t>
  </si>
  <si>
    <t>3813 - IRAP 2� Acconto</t>
  </si>
  <si>
    <t>Riduz</t>
  </si>
  <si>
    <t>Vers Omesso</t>
  </si>
  <si>
    <t>Sz Calc</t>
  </si>
  <si>
    <t>Sanzione</t>
  </si>
  <si>
    <t>3801 - Addiz.Regionale</t>
  </si>
  <si>
    <t>3843 - Addiz.Comunale Acconto</t>
  </si>
  <si>
    <t>3844 - Addiz.Comunale Saldo</t>
  </si>
  <si>
    <t>4200 - Redd.a Tass.Sep. Acconto</t>
  </si>
  <si>
    <t>LIM INFERIORE</t>
  </si>
  <si>
    <t>DT RAVVEDIM</t>
  </si>
  <si>
    <t>CALC INTERESSI</t>
  </si>
  <si>
    <t>4041 - IVIE Saldo</t>
  </si>
  <si>
    <t>4044 - IVIE 1� Acconto</t>
  </si>
  <si>
    <t>GG</t>
  </si>
  <si>
    <t>4045 - IVIE 2� Acconto</t>
  </si>
  <si>
    <t>4043 - IVAFE Saldo</t>
  </si>
  <si>
    <t>4047 - IVAFE 1� Acconto</t>
  </si>
  <si>
    <t>4048 - IVAFE 2� Acconto</t>
  </si>
  <si>
    <t>2018 - Maggioraz.IRES Soc.Non Operative 1� Acc.</t>
  </si>
  <si>
    <t>2019 - Maggioraz.IRES Soc.Non Operative 2� Acc.</t>
  </si>
  <si>
    <t>2020 - Maggioraz.IRES Soc.Non Operative Saldo</t>
  </si>
  <si>
    <t>(DM 12 dicembre 2013)</t>
  </si>
  <si>
    <t>(DM 11 dicembre 2014)</t>
  </si>
  <si>
    <t>(DM 11 dicembre 2015)</t>
  </si>
  <si>
    <t>(DM   7 dicembre 2016)</t>
  </si>
  <si>
    <t>(DM 13 dicembre 2017)</t>
  </si>
  <si>
    <t>(DM 12 dicembre 2018)</t>
  </si>
  <si>
    <t>(DM 12 dicembre 2019)</t>
  </si>
  <si>
    <t>LIMITE INFERIORE</t>
  </si>
  <si>
    <t>TOT. GG</t>
  </si>
  <si>
    <t>TOT. INTERESSI</t>
  </si>
  <si>
    <t>LIMITE SUPERIORE</t>
  </si>
  <si>
    <t>1001 - Rit.su Lavoro Dipendente (e assimilato ex 1004)</t>
  </si>
  <si>
    <t>POSIZ 0</t>
  </si>
  <si>
    <t>POSIZ 1</t>
  </si>
  <si>
    <t>POSIZ 2</t>
  </si>
  <si>
    <t>POSIZ 3</t>
  </si>
  <si>
    <t>POSIZ 4</t>
  </si>
  <si>
    <t>POSIZ 5</t>
  </si>
  <si>
    <t>1002 - Rit.su Emolumenti Arretrati</t>
  </si>
  <si>
    <t>1012 - Rit.su Indennit� Cess.Lav.Dip.</t>
  </si>
  <si>
    <t>1019 - Rit. 4% IRPEF Condominio</t>
  </si>
  <si>
    <t>1020 - Rit. 4% IRES Condominio</t>
  </si>
  <si>
    <t>1030 - Rit.su Redd.Cap.Non Dividendi</t>
  </si>
  <si>
    <t>1035 - Rit.su Utili distrib.a Residenti</t>
  </si>
  <si>
    <t>1036 - Rit.su Utili distrib.a Non Residenti</t>
  </si>
  <si>
    <t>1040 - Rit.su Lavoro Autonomo (e provvigioni ex 1038)</t>
  </si>
  <si>
    <t>1712 - Rit.Imp.Sost.Rivalutazione TFR Acconto</t>
  </si>
  <si>
    <t>1713 - Rit.Imp.Sost.Rivalutazione TFR Saldo</t>
  </si>
  <si>
    <t>1845 - Rit.Cedolare Secca da 730 a deb. Acc.</t>
  </si>
  <si>
    <t>1846 - Rit.Cedolare Secca da 730 a deb. Saldo</t>
  </si>
  <si>
    <t>4201 - Rit.su Redd.a Tassaz.Separata Acconto</t>
  </si>
  <si>
    <t>4730 - Rit.IRPEF da 730 a deb. Acc.</t>
  </si>
  <si>
    <t>4731 - Rit.IRPEF da 730 a deb. Saldo</t>
  </si>
  <si>
    <t>3802 - Rit.Addiz.Regionale</t>
  </si>
  <si>
    <t>4</t>
  </si>
  <si>
    <t>3803 - Rit.Addiz.Reg.da 730 a deb.</t>
  </si>
  <si>
    <t>3845 - Rit.Addiz.Com.da 730 Acc.</t>
  </si>
  <si>
    <t>3846 - Rit.Addiz.Com.da 730 Saldo</t>
  </si>
  <si>
    <t>3847 - Rit.Addiz.Comunale Acconto</t>
  </si>
  <si>
    <t>3848 - Rit.Addiz.Comunale Saldo</t>
  </si>
  <si>
    <t>4001 - IRPEF   (per infedele dichiarazione)</t>
  </si>
  <si>
    <t>3801 - Addiz.Regionale   (per infedele dichiarazione)</t>
  </si>
  <si>
    <t>3844 - Addiz.Comunale   (per infedele dichiarazione)</t>
  </si>
  <si>
    <t>1842 - Cedolare Secca   (per infedele dichiarazione)</t>
  </si>
  <si>
    <t>1683 - Contrib.Solidariet�   (per infedele dichiarazione)</t>
  </si>
  <si>
    <t>scadenza presentazione dichiarazione dell'anno precedente</t>
  </si>
  <si>
    <t>2003 - IRES   (per infedele dichiarazione)</t>
  </si>
  <si>
    <t>scadenza presentazione dichiarazione dell'anno precedente + 90gg</t>
  </si>
  <si>
    <t>2020 - Maggioraz.IRES   (per infedele dichiarazione)</t>
  </si>
  <si>
    <t>3800 - IRAP   (per infedele dichiarazione)</t>
  </si>
  <si>
    <t>1792 - Imp.Sost.Reg.Forfetario   (per infedele dichiarazione)</t>
  </si>
  <si>
    <t>1795 - Imp.Sost.Reg.Vantaggio   (per infedele dichiarazione)</t>
  </si>
  <si>
    <t>1816 - Imp.Sost.Premi di Risultato   (per infedele dichiarazione)</t>
  </si>
  <si>
    <t>4025 - Imp.Sost.Nuove Iniziative   (per infedele dichiarazione)</t>
  </si>
  <si>
    <t>4041 - IVIE (per infedele dichiarazione)</t>
  </si>
  <si>
    <t>4043 - IVAFE (per infedele dichiarazione)</t>
  </si>
  <si>
    <t>B4043 - IVAFE Black List (per infedele dichiarazione)</t>
  </si>
  <si>
    <t>9001 - Controlli da 36bis</t>
  </si>
  <si>
    <t>9006 - Controlli da 36ter</t>
  </si>
  <si>
    <t>2</t>
  </si>
  <si>
    <t>9526 - Controlli da 36bis - TFR</t>
  </si>
  <si>
    <t>9527 - Controlli da 36bis - Arretrati a T.S.</t>
  </si>
  <si>
    <t>1</t>
  </si>
  <si>
    <t>3850 - Diritto Annuale C.C.I.A.A. di Roma</t>
  </si>
  <si>
    <t>5</t>
  </si>
  <si>
    <t>minore fra 90gg dall'omissione e scadenza rata successiva</t>
  </si>
  <si>
    <t>7085 - Tassa Annuale Vidimazione Libri Sociali</t>
  </si>
  <si>
    <t>21</t>
  </si>
  <si>
    <t>6</t>
  </si>
  <si>
    <t>22</t>
  </si>
  <si>
    <t>7085</t>
  </si>
  <si>
    <t>maggiore fra 90gg dall'omissione e scadenza rata successiva</t>
  </si>
  <si>
    <t>8055 - Imp.Sost.Rivalutazione Partecipazioni</t>
  </si>
  <si>
    <t>1 anno dall'omissione</t>
  </si>
  <si>
    <t>8056 - Imp.Sost.Rivalutazione Terreni</t>
  </si>
  <si>
    <t>2 anni dall'omissione</t>
  </si>
  <si>
    <t>imposte non amministrate dall'AdE - oltre un anno dall'omissione</t>
  </si>
  <si>
    <t>imposte amministrate dall'AdE - oltre 2 anni dall'omissione</t>
  </si>
  <si>
    <t>imposte amministrate dall'AdE - entro 2 anni dall'omissione</t>
  </si>
  <si>
    <t>imposte amministrate dall'AdE - entro un anno dall'omissione</t>
  </si>
  <si>
    <t>imposte amministrate dall'AdE - entro 90gg dall'omissione</t>
  </si>
  <si>
    <t>3912 - IMU Abitazione Principale</t>
  </si>
  <si>
    <t>3913 - IMU Fabbricati Rurali</t>
  </si>
  <si>
    <t>imposte non amministrate dall'AdE - entro un anno dall'omissione</t>
  </si>
  <si>
    <t>3914 - IMU Terreni / Comune</t>
  </si>
  <si>
    <t>imposte non amministrate dall'AdE - entro 90gg dall'omissione</t>
  </si>
  <si>
    <t>3915 - IMU Terreni / Stato</t>
  </si>
  <si>
    <t>3916 - IMU Aree Fabbricabili / Comune</t>
  </si>
  <si>
    <t>3917 - IMU Aree Fabbricabili / Stato</t>
  </si>
  <si>
    <t>3918 - IMU Altri Fabbricati / Comune</t>
  </si>
  <si>
    <t>3919 - IMU Altri Fabbricati / Stato</t>
  </si>
  <si>
    <t>3925 - IMU Fabbricati Gr.D / Stato</t>
  </si>
  <si>
    <t>3930 - IMU Fabbricati Gr.D / Comune</t>
  </si>
  <si>
    <t>3944 - TARI (art 1, c 639, L 147/2013)-TARES (art 14 DL 201/2011)</t>
  </si>
  <si>
    <t>3950 - TARIFFA (art 1, c 668, L 147/2013 - art 14, c 29, DL 201/2011)</t>
  </si>
  <si>
    <t>3955 - MAGGIORAZIONE (art. 14, c. 13, DL 201/2011)</t>
  </si>
  <si>
    <t>3958 - TASI Abitazione Principale</t>
  </si>
  <si>
    <t>3959 - TASI Fabbr.Rurali ad uso strumentale</t>
  </si>
  <si>
    <t>3960 - TASI Aree Fabbricabili</t>
  </si>
  <si>
    <t>3961 - TASI Altri Fabbricati</t>
  </si>
  <si>
    <t>nessuna scelta effettuata</t>
  </si>
  <si>
    <t>1^ annualit�</t>
  </si>
  <si>
    <t>intero contratto 18 mesi</t>
  </si>
  <si>
    <t>intero contratto 2 anni</t>
  </si>
  <si>
    <t>intero contratto 3 anni</t>
  </si>
  <si>
    <t>intero contratto 6 anni</t>
  </si>
  <si>
    <t>intero contratto 9 anni</t>
  </si>
  <si>
    <t>Secondo l'interpretazione maggioritaria presso gli U.T. dell'Agenzia delle entrate, anche in caso di tardivo versamento dell'imposta dovuta per la proroga di un contratto di locazione di immobile urbano di durata pluriennale, indipendentemente dalla modalit� di assolvimento, in unica soluzione o annuale, la sanzione deve essere commisurata �sull'ammontare dei corrispettivi in denaro pattuiti per l'intera durata del contratto�, basandosi sulla letteralit� dell'art. 43, comma 1, lett. h) del T.U.R. �La base imponibile...� costituita dall'ammontare dei corrispettivi in denaro pattuiti per l'intera durata del contratto�.</t>
  </si>
  <si>
    <t>Secondo l'interpretazione maggioritaria presso gli U.T. dell'Agenzia delle entrate, la sanzione per la tardiva registrazione di un contratto di locazione di immobile urbano di durata pluriennale, indipendentemente dalla modalit� di assolvimento, in unica soluzione o annuale, deve essere commisurata �sull'ammontare dei corrispettivi in denaro pattuiti per l'intera durata del contratto�, basandosi sulla letteralit� dell'art. 43, comma 1, lett. h) del T.U.R. �La base imponibile...� costituita dall'ammontare dei corrispettivi in denaro pattuiti per l'intera durata del contratto�.</t>
  </si>
  <si>
    <t>E' opportuno, pertanto, prima di effettuare il ravvedimento, contattare l'Ufficio di competenza per conoscere quale sia l'interpretazione in uso, affinch� il versamento della sanzione non sia considerato carente (versato solo sulla prima annualit� ed invece dovuto sull'intero importo del contratto) o eccessivo (versato sull'intero importo del contratto ed invece dovuto solo sulla prima annualit�).</t>
  </si>
  <si>
    <t>Di seguito � possibile scegliere quale base imponibile si vuol prendere in considerazione:</t>
  </si>
  <si>
    <t>1500 - Imp.Reg.Loc.Beni Immob./1^ registrazione</t>
  </si>
  <si>
    <t>0000 - Cedolare Secca /1^ registrazione</t>
  </si>
  <si>
    <t>1501 - Imp.Reg.Loc.Beni Immob./anni successivi</t>
  </si>
  <si>
    <t>1502 - Imp.Reg.Loc.B.Imm./cessione contratto</t>
  </si>
  <si>
    <t>1503 - Imp.Reg.Loc.B.Imm./risoluzione contratto</t>
  </si>
  <si>
    <t>1504 - Imp.Reg.Loc.B.Imm./proroghe contratto</t>
  </si>
  <si>
    <t>1505 - Imp.Bollo Locazione Beni Immobili</t>
  </si>
  <si>
    <t>2501 - Imp.Bollo doc.informatici (DM 17/06/14)</t>
  </si>
  <si>
    <t>2505 - Bollo virtuale - rata</t>
  </si>
  <si>
    <t>2506 - Bollo virtuale - acconto</t>
  </si>
  <si>
    <t>109T - Imp.Reg.Atti, Contr.Verb., Denunce</t>
  </si>
  <si>
    <t>456T - Imposta di Bollo</t>
  </si>
  <si>
    <t>458T - Imp.Bollo su Libri e Registri</t>
  </si>
  <si>
    <t>1790 - Imp.Sost.Reg.Forfetario 1� Acc.</t>
  </si>
  <si>
    <t>1791 - Imp.Sost.Reg.Forfetario 2� Acc.</t>
  </si>
  <si>
    <t>1792 - Imp.Sost.Reg.Forfetario Saldo</t>
  </si>
  <si>
    <t>1793 - Imp.Sost.Reg.Vantaggio 1� Acc.</t>
  </si>
  <si>
    <t>1794 - Imp.Sost.Reg.Vantaggio 2� Acc.</t>
  </si>
  <si>
    <t>1795 - Imp.Sost.Reg.Vantaggio Saldo</t>
  </si>
  <si>
    <t>1816 - Imp.Sost.Premi di Risultato</t>
  </si>
  <si>
    <t>1840 - Cedolare Secca 1� Acc.</t>
  </si>
  <si>
    <t>1841 - Cedolare Secca 2� Acc.</t>
  </si>
  <si>
    <t>1842 - Cedolare Secca Saldo</t>
  </si>
  <si>
    <t>4025 - Imp.Sost.Nuove Iniziative</t>
  </si>
  <si>
    <t>FOGLIO ATTIVO</t>
  </si>
  <si>
    <t>RANGE VERS</t>
  </si>
  <si>
    <t>RANGE RAVV</t>
  </si>
  <si>
    <t>LIMITE</t>
  </si>
  <si>
    <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</si>
</sst>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 &quot;\ #,##0;\-&quot; &quot;\ #,##0"/>
    <numFmt numFmtId="165" formatCode="&quot; &quot;\ #,##0;[Red]\-&quot; &quot;\ #,##0"/>
    <numFmt numFmtId="166" formatCode="&quot; &quot;\ #,##0.00;\-&quot; &quot;\ #,##0.00"/>
    <numFmt numFmtId="167" formatCode="&quot; &quot;\ #,##0.00;[Red]\-&quot; &quot;\ #,##0.00"/>
    <numFmt numFmtId="168" formatCode="_-&quot; &quot;\ * #,##0_-;\-&quot; &quot;\ * #,##0_-;_-&quot; &quot;\ * &quot;-&quot;_-;_-@_-"/>
    <numFmt numFmtId="169" formatCode="_-&quot; &quot;\ * #,##0.00_-;\-&quot; &quot;\ * #,##0.00_-;_-&quot; &quot;\ * &quot;-&quot;??_-;_-@_-"/>
    <numFmt numFmtId="170" formatCode="0.0%"/>
    <numFmt numFmtId="171" formatCode="#,##0.0000"/>
    <numFmt numFmtId="172" formatCode="mmm\-yyyy"/>
    <numFmt numFmtId="173" formatCode="#&quot; &quot;?/?"/>
    <numFmt numFmtId="174" formatCode="#&quot; &quot;?/10"/>
    <numFmt numFmtId="175" formatCode="#&quot; &quot;?/8"/>
    <numFmt numFmtId="176" formatCode="0.000"/>
    <numFmt numFmtId="177" formatCode="#,##0.0"/>
    <numFmt numFmtId="178" formatCode="0.0"/>
    <numFmt numFmtId="179" formatCode="#&quot; &quot;?/12"/>
    <numFmt numFmtId="180" formatCode="dd/mm"/>
    <numFmt numFmtId="181" formatCode="dd"/>
    <numFmt numFmtId="182" formatCode="mm"/>
    <numFmt numFmtId="183" formatCode="#&quot; &quot;?/100"/>
    <numFmt numFmtId="184" formatCode="#&quot; &quot;?/15"/>
    <numFmt numFmtId="185" formatCode="#&quot; &quot;??/??"/>
    <numFmt numFmtId="186" formatCode="* "/>
  </numFmts>
  <fonts count="105">
    <font>
      <sz val="10"/>
      <name val="Arial"/>
      <family val="0"/>
    </font>
    <font>
      <sz val="10"/>
      <name val="Tahoma"/>
      <family val="2"/>
    </font>
    <font>
      <i/>
      <sz val="10"/>
      <color indexed="41"/>
      <name val="Arial Narrow"/>
      <family val="2"/>
    </font>
    <font>
      <u val="single"/>
      <sz val="10"/>
      <color indexed="12"/>
      <name val="Arial"/>
      <family val="0"/>
    </font>
    <font>
      <sz val="9"/>
      <name val="Tahoma"/>
      <family val="2"/>
    </font>
    <font>
      <i/>
      <sz val="9"/>
      <name val="Tahoma"/>
      <family val="2"/>
    </font>
    <font>
      <sz val="10"/>
      <color indexed="18"/>
      <name val="Tahoma"/>
      <family val="2"/>
    </font>
    <font>
      <b/>
      <sz val="10"/>
      <color indexed="18"/>
      <name val="Tahoma"/>
      <family val="2"/>
    </font>
    <font>
      <sz val="8"/>
      <name val="Tahoma"/>
      <family val="2"/>
    </font>
    <font>
      <sz val="9"/>
      <color indexed="18"/>
      <name val="Tahoma"/>
      <family val="2"/>
    </font>
    <font>
      <i/>
      <sz val="10"/>
      <color indexed="62"/>
      <name val="Tahoma"/>
      <family val="2"/>
    </font>
    <font>
      <sz val="10"/>
      <color indexed="48"/>
      <name val="Tahoma"/>
      <family val="2"/>
    </font>
    <font>
      <b/>
      <sz val="14"/>
      <name val="Tahoma"/>
      <family val="2"/>
    </font>
    <font>
      <b/>
      <sz val="11"/>
      <name val="Tahoma"/>
      <family val="2"/>
    </font>
    <font>
      <sz val="7"/>
      <color indexed="41"/>
      <name val="Arial"/>
      <family val="2"/>
    </font>
    <font>
      <sz val="11"/>
      <color indexed="40"/>
      <name val="Tahoma"/>
      <family val="2"/>
    </font>
    <font>
      <sz val="10"/>
      <color indexed="41"/>
      <name val="Tahoma"/>
      <family val="2"/>
    </font>
    <font>
      <sz val="10"/>
      <color indexed="9"/>
      <name val="Tahoma"/>
      <family val="2"/>
    </font>
    <font>
      <b/>
      <sz val="10"/>
      <name val="Tahoma"/>
      <family val="2"/>
    </font>
    <font>
      <i/>
      <sz val="8"/>
      <name val="Tahoma"/>
      <family val="2"/>
    </font>
    <font>
      <i/>
      <sz val="10"/>
      <name val="Tahoma"/>
      <family val="2"/>
    </font>
    <font>
      <sz val="10"/>
      <color indexed="12"/>
      <name val="Tahoma"/>
      <family val="2"/>
    </font>
    <font>
      <sz val="9"/>
      <name val="Helvetica Condensed"/>
      <family val="2"/>
    </font>
    <font>
      <i/>
      <sz val="8"/>
      <color indexed="44"/>
      <name val="Arial Narrow"/>
      <family val="2"/>
    </font>
    <font>
      <u val="single"/>
      <sz val="10"/>
      <color indexed="36"/>
      <name val="Arial"/>
      <family val="0"/>
    </font>
    <font>
      <sz val="8"/>
      <color indexed="10"/>
      <name val="Tahoma"/>
      <family val="2"/>
    </font>
    <font>
      <sz val="7"/>
      <color indexed="18"/>
      <name val="Tahoma"/>
      <family val="2"/>
    </font>
    <font>
      <b/>
      <sz val="10"/>
      <color indexed="40"/>
      <name val="Tahoma"/>
      <family val="2"/>
    </font>
    <font>
      <i/>
      <sz val="6"/>
      <color indexed="63"/>
      <name val="Tahoma"/>
      <family val="2"/>
    </font>
    <font>
      <sz val="10"/>
      <name val="Arial Narrow"/>
      <family val="2"/>
    </font>
    <font>
      <sz val="10"/>
      <color indexed="12"/>
      <name val="Arial Narrow"/>
      <family val="2"/>
    </font>
    <font>
      <sz val="10"/>
      <color indexed="13"/>
      <name val="Tahoma"/>
      <family val="2"/>
    </font>
    <font>
      <sz val="8"/>
      <color indexed="22"/>
      <name val="Tahoma"/>
      <family val="2"/>
    </font>
    <font>
      <sz val="10"/>
      <color indexed="55"/>
      <name val="Tahoma"/>
      <family val="2"/>
    </font>
    <font>
      <sz val="7"/>
      <name val="Arial Narrow"/>
      <family val="2"/>
    </font>
    <font>
      <sz val="10"/>
      <color indexed="40"/>
      <name val="Arial Narrow"/>
      <family val="2"/>
    </font>
    <font>
      <sz val="8"/>
      <name val="Arial Narrow"/>
      <family val="2"/>
    </font>
    <font>
      <sz val="6"/>
      <name val="Tahoma"/>
      <family val="2"/>
    </font>
    <font>
      <b/>
      <i/>
      <sz val="9"/>
      <name val="Tahoma"/>
      <family val="2"/>
    </font>
    <font>
      <i/>
      <sz val="7"/>
      <color indexed="62"/>
      <name val="Tahoma"/>
      <family val="2"/>
    </font>
    <font>
      <i/>
      <sz val="7"/>
      <color indexed="54"/>
      <name val="Tahoma"/>
      <family val="2"/>
    </font>
    <font>
      <sz val="8"/>
      <color indexed="21"/>
      <name val="Tahoma"/>
      <family val="2"/>
    </font>
    <font>
      <sz val="7"/>
      <name val="Tahoma"/>
      <family val="2"/>
    </font>
    <font>
      <sz val="8"/>
      <color indexed="63"/>
      <name val="Arial Narrow"/>
      <family val="2"/>
    </font>
    <font>
      <sz val="4"/>
      <name val="Tahoma"/>
      <family val="2"/>
    </font>
    <font>
      <sz val="4"/>
      <color indexed="9"/>
      <name val="Tahoma"/>
      <family val="2"/>
    </font>
    <font>
      <sz val="4"/>
      <color indexed="44"/>
      <name val="Tahoma"/>
      <family val="2"/>
    </font>
    <font>
      <i/>
      <sz val="8"/>
      <color indexed="15"/>
      <name val="Arial Narrow"/>
      <family val="2"/>
    </font>
    <font>
      <sz val="8"/>
      <color indexed="43"/>
      <name val="Arial Narrow"/>
      <family val="2"/>
    </font>
    <font>
      <sz val="8"/>
      <name val="Helvetica Condensed"/>
      <family val="2"/>
    </font>
    <font>
      <b/>
      <sz val="7"/>
      <color indexed="10"/>
      <name val="Tahoma"/>
      <family val="2"/>
    </font>
    <font>
      <b/>
      <sz val="8"/>
      <color indexed="44"/>
      <name val="Tahoma"/>
      <family val="2"/>
    </font>
    <font>
      <sz val="10"/>
      <color indexed="15"/>
      <name val="Tahoma"/>
      <family val="2"/>
    </font>
    <font>
      <sz val="10"/>
      <color indexed="43"/>
      <name val="Tahoma"/>
      <family val="2"/>
    </font>
    <font>
      <sz val="10"/>
      <color indexed="63"/>
      <name val="Tahoma"/>
      <family val="2"/>
    </font>
    <font>
      <b/>
      <sz val="9"/>
      <name val="Tahoma"/>
      <family val="0"/>
    </font>
    <font>
      <sz val="10"/>
      <color indexed="22"/>
      <name val="Tahoma"/>
      <family val="2"/>
    </font>
    <font>
      <sz val="6"/>
      <color indexed="63"/>
      <name val="Tahoma"/>
      <family val="2"/>
    </font>
    <font>
      <b/>
      <i/>
      <sz val="8"/>
      <color indexed="13"/>
      <name val="Arial Narrow"/>
      <family val="2"/>
    </font>
    <font>
      <b/>
      <i/>
      <sz val="8"/>
      <color indexed="15"/>
      <name val="Arial Narrow"/>
      <family val="2"/>
    </font>
    <font>
      <i/>
      <sz val="8"/>
      <color indexed="43"/>
      <name val="Arial Narrow"/>
      <family val="2"/>
    </font>
    <font>
      <i/>
      <sz val="7"/>
      <color indexed="42"/>
      <name val="Arial Narrow"/>
      <family val="2"/>
    </font>
    <font>
      <i/>
      <sz val="8"/>
      <color indexed="56"/>
      <name val="Arial Narrow"/>
      <family val="2"/>
    </font>
    <font>
      <b/>
      <sz val="8"/>
      <color indexed="12"/>
      <name val="Tahoma"/>
      <family val="2"/>
    </font>
    <font>
      <sz val="7"/>
      <color indexed="12"/>
      <name val="Tahoma"/>
      <family val="2"/>
    </font>
    <font>
      <b/>
      <sz val="8"/>
      <color indexed="13"/>
      <name val="Arial Narrow"/>
      <family val="2"/>
    </font>
    <font>
      <sz val="7"/>
      <color indexed="10"/>
      <name val="Tahoma"/>
      <family val="2"/>
    </font>
    <font>
      <sz val="8"/>
      <color indexed="56"/>
      <name val="Arial Narrow"/>
      <family val="2"/>
    </font>
    <font>
      <sz val="10"/>
      <color indexed="10"/>
      <name val="Tahoma"/>
      <family val="2"/>
    </font>
    <font>
      <b/>
      <i/>
      <sz val="7"/>
      <color indexed="21"/>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21"/>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14"/>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1"/>
        <bgColor indexed="64"/>
      </patternFill>
    </fill>
    <fill>
      <patternFill patternType="solid">
        <fgColor indexed="52"/>
        <bgColor indexed="64"/>
      </patternFill>
    </fill>
    <fill>
      <patternFill patternType="solid">
        <fgColor indexed="63"/>
        <bgColor indexed="64"/>
      </patternFill>
    </fill>
    <fill>
      <patternFill patternType="solid">
        <fgColor indexed="12"/>
        <bgColor indexed="64"/>
      </patternFill>
    </fill>
    <fill>
      <patternFill patternType="solid">
        <fgColor indexed="53"/>
        <bgColor indexed="64"/>
      </patternFill>
    </fill>
    <fill>
      <patternFill patternType="solid">
        <fgColor indexed="62"/>
        <bgColor indexed="64"/>
      </patternFill>
    </fill>
    <fill>
      <patternFill patternType="solid">
        <fgColor indexed="18"/>
        <bgColor indexed="64"/>
      </patternFill>
    </fill>
    <fill>
      <patternFill patternType="solid">
        <fgColor indexed="48"/>
        <bgColor indexed="64"/>
      </patternFill>
    </fill>
    <fill>
      <patternFill patternType="solid">
        <fgColor indexed="47"/>
        <bgColor indexed="64"/>
      </patternFill>
    </fill>
    <fill>
      <patternFill patternType="solid">
        <fgColor indexed="10"/>
        <bgColor indexed="64"/>
      </patternFill>
    </fill>
    <fill>
      <patternFill patternType="solid">
        <fgColor indexed="54"/>
        <bgColor indexed="64"/>
      </patternFill>
    </fill>
    <fill>
      <patternFill patternType="solid">
        <fgColor indexed="27"/>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62"/>
      </bottom>
    </border>
    <border>
      <left style="thin">
        <color indexed="40"/>
      </left>
      <right>
        <color indexed="63"/>
      </right>
      <top>
        <color indexed="63"/>
      </top>
      <bottom>
        <color indexed="63"/>
      </bottom>
    </border>
    <border>
      <left>
        <color indexed="63"/>
      </left>
      <right style="thin">
        <color indexed="40"/>
      </right>
      <top>
        <color indexed="63"/>
      </top>
      <bottom>
        <color indexed="63"/>
      </bottom>
    </border>
    <border>
      <left>
        <color indexed="63"/>
      </left>
      <right>
        <color indexed="63"/>
      </right>
      <top style="thin">
        <color indexed="40"/>
      </top>
      <bottom style="thin">
        <color indexed="40"/>
      </bottom>
    </border>
    <border>
      <left>
        <color indexed="63"/>
      </left>
      <right>
        <color indexed="63"/>
      </right>
      <top>
        <color indexed="63"/>
      </top>
      <bottom style="thin">
        <color indexed="40"/>
      </bottom>
    </border>
    <border>
      <left style="thin">
        <color indexed="40"/>
      </left>
      <right>
        <color indexed="63"/>
      </right>
      <top style="medium">
        <color indexed="40"/>
      </top>
      <bottom style="medium">
        <color indexed="40"/>
      </bottom>
    </border>
    <border>
      <left>
        <color indexed="63"/>
      </left>
      <right>
        <color indexed="63"/>
      </right>
      <top style="medium">
        <color indexed="40"/>
      </top>
      <bottom style="medium">
        <color indexed="40"/>
      </bottom>
    </border>
    <border>
      <left>
        <color indexed="63"/>
      </left>
      <right style="thin">
        <color indexed="40"/>
      </right>
      <top style="medium">
        <color indexed="40"/>
      </top>
      <bottom style="medium">
        <color indexed="4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color indexed="49"/>
      </left>
      <right>
        <color indexed="63"/>
      </right>
      <top>
        <color indexed="63"/>
      </top>
      <bottom>
        <color indexed="63"/>
      </bottom>
    </border>
    <border>
      <left>
        <color indexed="63"/>
      </left>
      <right>
        <color indexed="63"/>
      </right>
      <top style="thick">
        <color indexed="49"/>
      </top>
      <bottom>
        <color indexed="63"/>
      </bottom>
    </border>
    <border>
      <left>
        <color indexed="63"/>
      </left>
      <right style="thick">
        <color indexed="49"/>
      </right>
      <top style="thick">
        <color indexed="49"/>
      </top>
      <bottom>
        <color indexed="63"/>
      </bottom>
    </border>
    <border>
      <left>
        <color indexed="63"/>
      </left>
      <right style="thick">
        <color indexed="49"/>
      </right>
      <top>
        <color indexed="63"/>
      </top>
      <bottom>
        <color indexed="63"/>
      </bottom>
    </border>
    <border>
      <left style="thick">
        <color indexed="49"/>
      </left>
      <right>
        <color indexed="63"/>
      </right>
      <top>
        <color indexed="63"/>
      </top>
      <bottom style="thick">
        <color indexed="49"/>
      </bottom>
    </border>
    <border>
      <left>
        <color indexed="63"/>
      </left>
      <right>
        <color indexed="63"/>
      </right>
      <top>
        <color indexed="63"/>
      </top>
      <bottom style="thick">
        <color indexed="49"/>
      </bottom>
    </border>
    <border>
      <left>
        <color indexed="63"/>
      </left>
      <right style="thick">
        <color indexed="49"/>
      </right>
      <top>
        <color indexed="63"/>
      </top>
      <bottom style="thick">
        <color indexed="49"/>
      </bottom>
    </border>
    <border>
      <left style="thick">
        <color indexed="49"/>
      </left>
      <right>
        <color indexed="63"/>
      </right>
      <top style="thick">
        <color indexed="49"/>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48"/>
      </bottom>
    </border>
    <border>
      <left style="thin">
        <color indexed="40"/>
      </left>
      <right>
        <color indexed="63"/>
      </right>
      <top>
        <color indexed="63"/>
      </top>
      <bottom style="thin">
        <color indexed="40"/>
      </bottom>
    </border>
    <border>
      <left>
        <color indexed="63"/>
      </left>
      <right style="thin">
        <color indexed="40"/>
      </right>
      <top>
        <color indexed="63"/>
      </top>
      <bottom style="thin">
        <color indexed="40"/>
      </bottom>
    </border>
    <border>
      <left style="thin">
        <color indexed="62"/>
      </left>
      <right>
        <color indexed="63"/>
      </right>
      <top style="thin">
        <color indexed="62"/>
      </top>
      <bottom style="medium">
        <color indexed="62"/>
      </bottom>
    </border>
    <border>
      <left>
        <color indexed="63"/>
      </left>
      <right>
        <color indexed="63"/>
      </right>
      <top style="thin">
        <color indexed="62"/>
      </top>
      <bottom style="medium">
        <color indexed="62"/>
      </bottom>
    </border>
    <border>
      <left>
        <color indexed="63"/>
      </left>
      <right style="thin">
        <color indexed="62"/>
      </right>
      <top style="thin">
        <color indexed="62"/>
      </top>
      <bottom style="medium">
        <color indexed="62"/>
      </bottom>
    </border>
    <border>
      <left>
        <color indexed="63"/>
      </left>
      <right>
        <color indexed="63"/>
      </right>
      <top style="medium">
        <color indexed="62"/>
      </top>
      <bottom style="medium">
        <color indexed="62"/>
      </bottom>
    </border>
    <border>
      <left>
        <color indexed="63"/>
      </left>
      <right style="thin">
        <color indexed="62"/>
      </right>
      <top style="medium">
        <color indexed="62"/>
      </top>
      <bottom style="medium">
        <color indexed="62"/>
      </bottom>
    </border>
    <border>
      <left style="thin">
        <color indexed="62"/>
      </left>
      <right>
        <color indexed="63"/>
      </right>
      <top style="medium">
        <color indexed="62"/>
      </top>
      <bottom style="medium">
        <color indexed="62"/>
      </bottom>
    </border>
    <border>
      <left style="thin">
        <color indexed="48"/>
      </left>
      <right>
        <color indexed="63"/>
      </right>
      <top style="thin">
        <color indexed="48"/>
      </top>
      <bottom style="medium">
        <color indexed="48"/>
      </bottom>
    </border>
    <border>
      <left>
        <color indexed="63"/>
      </left>
      <right>
        <color indexed="63"/>
      </right>
      <top style="thin">
        <color indexed="48"/>
      </top>
      <bottom style="medium">
        <color indexed="48"/>
      </bottom>
    </border>
    <border>
      <left>
        <color indexed="63"/>
      </left>
      <right style="thin">
        <color indexed="48"/>
      </right>
      <top style="thin">
        <color indexed="48"/>
      </top>
      <bottom style="medium">
        <color indexed="48"/>
      </bottom>
    </border>
    <border>
      <left style="thin">
        <color indexed="62"/>
      </left>
      <right>
        <color indexed="63"/>
      </right>
      <top>
        <color indexed="63"/>
      </top>
      <bottom style="medium">
        <color indexed="62"/>
      </bottom>
    </border>
    <border>
      <left>
        <color indexed="63"/>
      </left>
      <right>
        <color indexed="63"/>
      </right>
      <top>
        <color indexed="63"/>
      </top>
      <bottom style="medium">
        <color indexed="62"/>
      </bottom>
    </border>
    <border>
      <left>
        <color indexed="63"/>
      </left>
      <right style="thin">
        <color indexed="62"/>
      </right>
      <top>
        <color indexed="63"/>
      </top>
      <bottom style="medium">
        <color indexed="62"/>
      </bottom>
    </border>
    <border>
      <left style="thin">
        <color indexed="48"/>
      </left>
      <right>
        <color indexed="63"/>
      </right>
      <top style="medium">
        <color indexed="48"/>
      </top>
      <bottom style="medium">
        <color indexed="48"/>
      </bottom>
    </border>
    <border>
      <left>
        <color indexed="63"/>
      </left>
      <right>
        <color indexed="63"/>
      </right>
      <top style="medium">
        <color indexed="48"/>
      </top>
      <bottom style="medium">
        <color indexed="48"/>
      </bottom>
    </border>
    <border>
      <left>
        <color indexed="63"/>
      </left>
      <right style="thin">
        <color indexed="48"/>
      </right>
      <top style="medium">
        <color indexed="48"/>
      </top>
      <bottom style="medium">
        <color indexed="48"/>
      </bottom>
    </border>
    <border>
      <left>
        <color indexed="63"/>
      </left>
      <right>
        <color indexed="63"/>
      </right>
      <top style="thin">
        <color indexed="40"/>
      </top>
      <bottom>
        <color indexed="63"/>
      </bottom>
    </border>
    <border>
      <left style="thin">
        <color indexed="40"/>
      </left>
      <right>
        <color indexed="63"/>
      </right>
      <top style="thin">
        <color indexed="40"/>
      </top>
      <bottom>
        <color indexed="63"/>
      </bottom>
    </border>
    <border>
      <left>
        <color indexed="63"/>
      </left>
      <right style="thin">
        <color indexed="40"/>
      </right>
      <top style="thin">
        <color indexed="4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20" borderId="1" applyNumberFormat="0" applyAlignment="0" applyProtection="0"/>
    <xf numFmtId="0" fontId="89" fillId="0" borderId="2" applyNumberFormat="0" applyFill="0" applyAlignment="0" applyProtection="0"/>
    <xf numFmtId="0" fontId="90" fillId="21" borderId="3" applyNumberFormat="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2" fillId="28" borderId="1" applyNumberFormat="0" applyAlignment="0" applyProtection="0"/>
    <xf numFmtId="0" fontId="3" fillId="0" borderId="0" applyNumberFormat="0" applyFill="0" applyBorder="0" applyAlignment="0" applyProtection="0"/>
    <xf numFmtId="0" fontId="24" fillId="0" borderId="0" applyNumberFormat="0" applyFill="0" applyBorder="0" applyAlignment="0" applyProtection="0"/>
    <xf numFmtId="0" fontId="93" fillId="29" borderId="0" applyNumberFormat="0" applyBorder="0" applyAlignment="0" applyProtection="0"/>
    <xf numFmtId="0" fontId="0" fillId="30" borderId="4" applyNumberFormat="0" applyFont="0" applyAlignment="0" applyProtection="0"/>
    <xf numFmtId="0" fontId="94" fillId="20" borderId="5"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31" borderId="0" applyNumberFormat="0" applyBorder="0" applyAlignment="0" applyProtection="0"/>
    <xf numFmtId="0" fontId="103" fillId="3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23">
    <xf numFmtId="0" fontId="0" fillId="0" borderId="0" xfId="0" applyAlignment="1">
      <alignment/>
    </xf>
    <xf numFmtId="0" fontId="1" fillId="33" borderId="0" xfId="0" applyFont="1" applyFill="1" applyAlignment="1" applyProtection="1">
      <alignment/>
      <protection hidden="1"/>
    </xf>
    <xf numFmtId="0" fontId="1" fillId="34" borderId="0" xfId="0" applyFont="1" applyFill="1" applyAlignment="1" applyProtection="1">
      <alignment/>
      <protection hidden="1"/>
    </xf>
    <xf numFmtId="0" fontId="2" fillId="34" borderId="0" xfId="43" applyFont="1" applyFill="1" applyAlignment="1" applyProtection="1">
      <alignment horizontal="right"/>
      <protection hidden="1"/>
    </xf>
    <xf numFmtId="49" fontId="1" fillId="0" borderId="0" xfId="0" applyNumberFormat="1" applyFont="1" applyAlignment="1" applyProtection="1">
      <alignment/>
      <protection hidden="1"/>
    </xf>
    <xf numFmtId="0" fontId="1" fillId="0" borderId="0" xfId="0" applyFont="1" applyAlignment="1" applyProtection="1">
      <alignment/>
      <protection hidden="1"/>
    </xf>
    <xf numFmtId="0" fontId="1" fillId="34" borderId="0" xfId="0" applyFont="1" applyFill="1" applyBorder="1" applyAlignment="1" applyProtection="1">
      <alignment horizontal="center"/>
      <protection hidden="1"/>
    </xf>
    <xf numFmtId="0" fontId="1" fillId="0" borderId="0" xfId="0" applyFont="1" applyFill="1" applyAlignment="1" applyProtection="1">
      <alignment/>
      <protection hidden="1"/>
    </xf>
    <xf numFmtId="0" fontId="1" fillId="34" borderId="10" xfId="0" applyFont="1" applyFill="1" applyBorder="1" applyAlignment="1" applyProtection="1">
      <alignment/>
      <protection hidden="1"/>
    </xf>
    <xf numFmtId="0" fontId="1" fillId="34" borderId="0" xfId="0" applyFont="1" applyFill="1" applyBorder="1" applyAlignment="1" applyProtection="1">
      <alignment/>
      <protection hidden="1"/>
    </xf>
    <xf numFmtId="49" fontId="1" fillId="0" borderId="0" xfId="0" applyNumberFormat="1" applyFont="1" applyFill="1" applyAlignment="1" applyProtection="1">
      <alignment/>
      <protection hidden="1"/>
    </xf>
    <xf numFmtId="0" fontId="8" fillId="35" borderId="11" xfId="0" applyFont="1" applyFill="1" applyBorder="1" applyAlignment="1" applyProtection="1">
      <alignment/>
      <protection hidden="1"/>
    </xf>
    <xf numFmtId="0" fontId="8" fillId="35" borderId="0" xfId="0" applyFont="1" applyFill="1" applyBorder="1" applyAlignment="1" applyProtection="1">
      <alignment/>
      <protection hidden="1"/>
    </xf>
    <xf numFmtId="0" fontId="1" fillId="35" borderId="12" xfId="0" applyFont="1" applyFill="1" applyBorder="1" applyAlignment="1" applyProtection="1">
      <alignment/>
      <protection hidden="1"/>
    </xf>
    <xf numFmtId="0" fontId="1" fillId="35" borderId="11" xfId="0" applyFont="1" applyFill="1" applyBorder="1" applyAlignment="1" applyProtection="1">
      <alignment/>
      <protection hidden="1"/>
    </xf>
    <xf numFmtId="0" fontId="1" fillId="35" borderId="0" xfId="0" applyFont="1" applyFill="1" applyBorder="1" applyAlignment="1" applyProtection="1">
      <alignment/>
      <protection hidden="1"/>
    </xf>
    <xf numFmtId="0" fontId="1" fillId="33" borderId="13" xfId="0" applyFont="1" applyFill="1" applyBorder="1" applyAlignment="1" applyProtection="1">
      <alignment horizontal="left"/>
      <protection hidden="1"/>
    </xf>
    <xf numFmtId="0" fontId="1" fillId="35" borderId="0" xfId="0" applyFont="1" applyFill="1" applyBorder="1" applyAlignment="1" applyProtection="1">
      <alignment/>
      <protection hidden="1"/>
    </xf>
    <xf numFmtId="0" fontId="1" fillId="33" borderId="13" xfId="0"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14" xfId="0" applyFont="1" applyFill="1" applyBorder="1" applyAlignment="1" applyProtection="1">
      <alignment horizontal="left"/>
      <protection hidden="1"/>
    </xf>
    <xf numFmtId="0" fontId="1" fillId="36" borderId="15" xfId="0" applyFont="1" applyFill="1" applyBorder="1" applyAlignment="1" applyProtection="1">
      <alignment horizontal="left"/>
      <protection hidden="1"/>
    </xf>
    <xf numFmtId="0" fontId="1" fillId="36" borderId="16" xfId="0" applyFont="1" applyFill="1" applyBorder="1" applyAlignment="1" applyProtection="1">
      <alignment horizontal="left"/>
      <protection hidden="1"/>
    </xf>
    <xf numFmtId="0" fontId="1" fillId="36" borderId="17" xfId="0" applyFont="1" applyFill="1" applyBorder="1" applyAlignment="1" applyProtection="1">
      <alignment horizontal="left"/>
      <protection hidden="1"/>
    </xf>
    <xf numFmtId="0" fontId="4" fillId="33" borderId="18" xfId="0" applyFont="1" applyFill="1" applyBorder="1" applyAlignment="1" applyProtection="1">
      <alignment/>
      <protection hidden="1"/>
    </xf>
    <xf numFmtId="0" fontId="4" fillId="33" borderId="19" xfId="0" applyFont="1" applyFill="1" applyBorder="1" applyAlignment="1" applyProtection="1">
      <alignment/>
      <protection hidden="1"/>
    </xf>
    <xf numFmtId="0" fontId="1" fillId="33" borderId="19" xfId="0" applyFont="1" applyFill="1" applyBorder="1" applyAlignment="1" applyProtection="1">
      <alignment/>
      <protection hidden="1"/>
    </xf>
    <xf numFmtId="0" fontId="1" fillId="33" borderId="20" xfId="0" applyFont="1" applyFill="1" applyBorder="1" applyAlignment="1" applyProtection="1">
      <alignment/>
      <protection hidden="1"/>
    </xf>
    <xf numFmtId="0" fontId="4" fillId="33" borderId="21" xfId="0" applyFont="1" applyFill="1" applyBorder="1" applyAlignment="1" applyProtection="1">
      <alignment/>
      <protection hidden="1"/>
    </xf>
    <xf numFmtId="0" fontId="18" fillId="33" borderId="0" xfId="0" applyFont="1" applyFill="1" applyBorder="1" applyAlignment="1" applyProtection="1">
      <alignment/>
      <protection hidden="1"/>
    </xf>
    <xf numFmtId="0" fontId="4" fillId="33" borderId="0" xfId="0" applyFont="1" applyFill="1" applyBorder="1" applyAlignment="1" applyProtection="1">
      <alignment/>
      <protection hidden="1"/>
    </xf>
    <xf numFmtId="0" fontId="1" fillId="33" borderId="0" xfId="0" applyFont="1" applyFill="1" applyBorder="1" applyAlignment="1" applyProtection="1">
      <alignment/>
      <protection hidden="1"/>
    </xf>
    <xf numFmtId="0" fontId="1" fillId="33" borderId="22" xfId="0" applyFont="1" applyFill="1" applyBorder="1" applyAlignment="1" applyProtection="1">
      <alignment/>
      <protection hidden="1"/>
    </xf>
    <xf numFmtId="0" fontId="4" fillId="33" borderId="23" xfId="0" applyFont="1" applyFill="1" applyBorder="1" applyAlignment="1" applyProtection="1">
      <alignment horizontal="center"/>
      <protection hidden="1"/>
    </xf>
    <xf numFmtId="0" fontId="1" fillId="0" borderId="0" xfId="0" applyFont="1" applyBorder="1" applyAlignment="1" applyProtection="1">
      <alignment/>
      <protection hidden="1"/>
    </xf>
    <xf numFmtId="0" fontId="4" fillId="33" borderId="23" xfId="0" applyFont="1" applyFill="1" applyBorder="1" applyAlignment="1" applyProtection="1">
      <alignment/>
      <protection hidden="1"/>
    </xf>
    <xf numFmtId="0" fontId="4" fillId="33" borderId="23" xfId="0" applyFont="1" applyFill="1" applyBorder="1" applyAlignment="1" applyProtection="1">
      <alignment horizontal="right"/>
      <protection hidden="1"/>
    </xf>
    <xf numFmtId="0" fontId="4" fillId="33" borderId="0" xfId="0" applyFont="1" applyFill="1" applyBorder="1" applyAlignment="1" applyProtection="1">
      <alignment/>
      <protection hidden="1"/>
    </xf>
    <xf numFmtId="4" fontId="4" fillId="33" borderId="0" xfId="0" applyNumberFormat="1" applyFont="1" applyFill="1" applyBorder="1" applyAlignment="1" applyProtection="1">
      <alignment horizontal="left" shrinkToFit="1"/>
      <protection hidden="1"/>
    </xf>
    <xf numFmtId="0" fontId="4" fillId="33" borderId="0" xfId="0" applyFont="1" applyFill="1" applyBorder="1" applyAlignment="1" applyProtection="1">
      <alignment horizontal="right"/>
      <protection hidden="1"/>
    </xf>
    <xf numFmtId="0" fontId="4" fillId="33" borderId="0" xfId="0" applyFont="1" applyFill="1" applyBorder="1" applyAlignment="1" applyProtection="1">
      <alignment horizontal="center"/>
      <protection hidden="1"/>
    </xf>
    <xf numFmtId="4" fontId="1" fillId="33" borderId="0" xfId="0" applyNumberFormat="1" applyFont="1" applyFill="1" applyBorder="1" applyAlignment="1" applyProtection="1">
      <alignment horizontal="right"/>
      <protection hidden="1"/>
    </xf>
    <xf numFmtId="0" fontId="1" fillId="33" borderId="21" xfId="0" applyFont="1" applyFill="1" applyBorder="1" applyAlignment="1" applyProtection="1">
      <alignment/>
      <protection hidden="1"/>
    </xf>
    <xf numFmtId="14" fontId="19" fillId="33" borderId="0" xfId="0" applyNumberFormat="1" applyFont="1" applyFill="1" applyBorder="1" applyAlignment="1" applyProtection="1">
      <alignment horizontal="center"/>
      <protection hidden="1"/>
    </xf>
    <xf numFmtId="0" fontId="19" fillId="33" borderId="0" xfId="0" applyFont="1" applyFill="1" applyBorder="1" applyAlignment="1" applyProtection="1">
      <alignment/>
      <protection hidden="1"/>
    </xf>
    <xf numFmtId="0" fontId="19" fillId="33" borderId="0" xfId="0" applyFont="1" applyFill="1" applyBorder="1" applyAlignment="1" applyProtection="1">
      <alignment horizontal="center"/>
      <protection hidden="1"/>
    </xf>
    <xf numFmtId="0" fontId="19" fillId="33" borderId="21" xfId="0" applyFont="1" applyFill="1" applyBorder="1" applyAlignment="1" applyProtection="1">
      <alignment/>
      <protection hidden="1"/>
    </xf>
    <xf numFmtId="0" fontId="20" fillId="33" borderId="0" xfId="0" applyFont="1" applyFill="1" applyBorder="1" applyAlignment="1" applyProtection="1">
      <alignment/>
      <protection hidden="1"/>
    </xf>
    <xf numFmtId="0" fontId="1" fillId="33" borderId="24" xfId="0" applyFont="1" applyFill="1" applyBorder="1" applyAlignment="1" applyProtection="1">
      <alignment/>
      <protection hidden="1"/>
    </xf>
    <xf numFmtId="0" fontId="1" fillId="33" borderId="25" xfId="0" applyFont="1" applyFill="1" applyBorder="1" applyAlignment="1" applyProtection="1">
      <alignment/>
      <protection hidden="1"/>
    </xf>
    <xf numFmtId="0" fontId="1" fillId="33" borderId="26" xfId="0" applyFont="1" applyFill="1" applyBorder="1" applyAlignment="1" applyProtection="1">
      <alignment/>
      <protection hidden="1"/>
    </xf>
    <xf numFmtId="0" fontId="1" fillId="0" borderId="0" xfId="0" applyFont="1" applyAlignment="1" applyProtection="1">
      <alignment horizontal="left"/>
      <protection hidden="1"/>
    </xf>
    <xf numFmtId="49" fontId="1" fillId="0" borderId="0" xfId="0" applyNumberFormat="1" applyFont="1" applyAlignment="1" applyProtection="1">
      <alignment horizontal="center"/>
      <protection hidden="1"/>
    </xf>
    <xf numFmtId="0" fontId="1" fillId="37" borderId="0" xfId="0" applyFont="1" applyFill="1" applyAlignment="1" applyProtection="1">
      <alignment/>
      <protection hidden="1"/>
    </xf>
    <xf numFmtId="0" fontId="1" fillId="38" borderId="0" xfId="0" applyFont="1" applyFill="1" applyAlignment="1" applyProtection="1">
      <alignment/>
      <protection hidden="1"/>
    </xf>
    <xf numFmtId="0" fontId="1" fillId="0" borderId="0" xfId="0" applyFont="1" applyAlignment="1" applyProtection="1">
      <alignment horizontal="center"/>
      <protection hidden="1"/>
    </xf>
    <xf numFmtId="49" fontId="1" fillId="34" borderId="0" xfId="0" applyNumberFormat="1" applyFont="1" applyFill="1" applyAlignment="1" applyProtection="1">
      <alignment/>
      <protection hidden="1"/>
    </xf>
    <xf numFmtId="0" fontId="1" fillId="36" borderId="0" xfId="0" applyNumberFormat="1" applyFont="1" applyFill="1" applyAlignment="1" applyProtection="1">
      <alignment horizontal="center"/>
      <protection hidden="1"/>
    </xf>
    <xf numFmtId="0" fontId="21" fillId="36" borderId="0" xfId="0" applyNumberFormat="1" applyFont="1" applyFill="1" applyAlignment="1" applyProtection="1">
      <alignment horizontal="center"/>
      <protection hidden="1"/>
    </xf>
    <xf numFmtId="49" fontId="1" fillId="35" borderId="0" xfId="0" applyNumberFormat="1" applyFont="1" applyFill="1" applyAlignment="1" applyProtection="1">
      <alignment/>
      <protection hidden="1"/>
    </xf>
    <xf numFmtId="0" fontId="1" fillId="39" borderId="0" xfId="0" applyNumberFormat="1" applyFont="1" applyFill="1" applyAlignment="1" applyProtection="1">
      <alignment horizontal="center"/>
      <protection hidden="1"/>
    </xf>
    <xf numFmtId="0" fontId="21" fillId="39" borderId="0" xfId="0" applyNumberFormat="1" applyFont="1" applyFill="1" applyAlignment="1" applyProtection="1">
      <alignment horizontal="center"/>
      <protection hidden="1"/>
    </xf>
    <xf numFmtId="0" fontId="1" fillId="0" borderId="0" xfId="0" applyFont="1" applyAlignment="1" applyProtection="1">
      <alignment horizontal="right"/>
      <protection hidden="1"/>
    </xf>
    <xf numFmtId="49" fontId="1" fillId="36" borderId="0" xfId="0" applyNumberFormat="1" applyFont="1" applyFill="1" applyAlignment="1" applyProtection="1">
      <alignment/>
      <protection hidden="1"/>
    </xf>
    <xf numFmtId="49" fontId="1" fillId="36" borderId="0" xfId="0" applyNumberFormat="1" applyFont="1" applyFill="1" applyAlignment="1" applyProtection="1">
      <alignment horizontal="center"/>
      <protection hidden="1"/>
    </xf>
    <xf numFmtId="49" fontId="1" fillId="39" borderId="0" xfId="0" applyNumberFormat="1" applyFont="1" applyFill="1" applyAlignment="1" applyProtection="1">
      <alignment/>
      <protection hidden="1"/>
    </xf>
    <xf numFmtId="49" fontId="21" fillId="39" borderId="0" xfId="0" applyNumberFormat="1" applyFont="1" applyFill="1" applyAlignment="1" applyProtection="1">
      <alignment/>
      <protection hidden="1"/>
    </xf>
    <xf numFmtId="14" fontId="1" fillId="0" borderId="0" xfId="0" applyNumberFormat="1" applyFont="1" applyAlignment="1" applyProtection="1">
      <alignment/>
      <protection hidden="1"/>
    </xf>
    <xf numFmtId="1" fontId="1" fillId="0" borderId="0" xfId="0" applyNumberFormat="1" applyFont="1" applyAlignment="1" applyProtection="1">
      <alignment horizontal="center"/>
      <protection hidden="1"/>
    </xf>
    <xf numFmtId="14" fontId="1" fillId="0" borderId="0" xfId="0" applyNumberFormat="1" applyFont="1" applyFill="1" applyAlignment="1" applyProtection="1">
      <alignment horizontal="left"/>
      <protection hidden="1"/>
    </xf>
    <xf numFmtId="49" fontId="1" fillId="40" borderId="0" xfId="0" applyNumberFormat="1" applyFont="1" applyFill="1" applyAlignment="1" applyProtection="1">
      <alignment/>
      <protection hidden="1"/>
    </xf>
    <xf numFmtId="0" fontId="1" fillId="41" borderId="0" xfId="0" applyNumberFormat="1" applyFont="1" applyFill="1" applyAlignment="1" applyProtection="1">
      <alignment horizontal="center"/>
      <protection hidden="1"/>
    </xf>
    <xf numFmtId="0" fontId="21" fillId="41" borderId="0" xfId="0" applyNumberFormat="1" applyFont="1" applyFill="1" applyAlignment="1" applyProtection="1">
      <alignment horizontal="center"/>
      <protection hidden="1"/>
    </xf>
    <xf numFmtId="49" fontId="1" fillId="42" borderId="0" xfId="0" applyNumberFormat="1" applyFont="1" applyFill="1" applyAlignment="1" applyProtection="1">
      <alignment/>
      <protection hidden="1"/>
    </xf>
    <xf numFmtId="0" fontId="1" fillId="43" borderId="0" xfId="0" applyNumberFormat="1" applyFont="1" applyFill="1" applyAlignment="1" applyProtection="1">
      <alignment horizontal="center"/>
      <protection hidden="1"/>
    </xf>
    <xf numFmtId="0" fontId="21" fillId="43" borderId="0" xfId="0" applyNumberFormat="1" applyFont="1" applyFill="1" applyAlignment="1" applyProtection="1">
      <alignment horizontal="center"/>
      <protection hidden="1"/>
    </xf>
    <xf numFmtId="49" fontId="1" fillId="43" borderId="0" xfId="0" applyNumberFormat="1" applyFont="1" applyFill="1" applyAlignment="1" applyProtection="1">
      <alignment/>
      <protection hidden="1"/>
    </xf>
    <xf numFmtId="49" fontId="1" fillId="41" borderId="0" xfId="0" applyNumberFormat="1" applyFont="1" applyFill="1" applyAlignment="1" applyProtection="1">
      <alignment/>
      <protection hidden="1"/>
    </xf>
    <xf numFmtId="49" fontId="1" fillId="44" borderId="0" xfId="0" applyNumberFormat="1" applyFont="1" applyFill="1" applyAlignment="1" applyProtection="1">
      <alignment/>
      <protection hidden="1"/>
    </xf>
    <xf numFmtId="0" fontId="1" fillId="45" borderId="0" xfId="0" applyNumberFormat="1" applyFont="1" applyFill="1" applyAlignment="1" applyProtection="1">
      <alignment horizontal="center"/>
      <protection hidden="1"/>
    </xf>
    <xf numFmtId="0" fontId="21" fillId="45" borderId="0" xfId="0" applyNumberFormat="1" applyFont="1" applyFill="1" applyAlignment="1" applyProtection="1">
      <alignment horizontal="center"/>
      <protection hidden="1"/>
    </xf>
    <xf numFmtId="49" fontId="1" fillId="46" borderId="0" xfId="0" applyNumberFormat="1" applyFont="1" applyFill="1" applyAlignment="1" applyProtection="1">
      <alignment/>
      <protection hidden="1"/>
    </xf>
    <xf numFmtId="0" fontId="1" fillId="46" borderId="0" xfId="0" applyFont="1" applyFill="1" applyAlignment="1" applyProtection="1">
      <alignment/>
      <protection hidden="1"/>
    </xf>
    <xf numFmtId="0" fontId="1" fillId="47" borderId="0" xfId="0" applyNumberFormat="1" applyFont="1" applyFill="1" applyAlignment="1" applyProtection="1">
      <alignment horizontal="center"/>
      <protection hidden="1"/>
    </xf>
    <xf numFmtId="0" fontId="21" fillId="47" borderId="0" xfId="0" applyNumberFormat="1" applyFont="1" applyFill="1" applyAlignment="1" applyProtection="1">
      <alignment horizontal="center"/>
      <protection hidden="1"/>
    </xf>
    <xf numFmtId="0" fontId="1" fillId="44" borderId="0" xfId="0" applyFont="1" applyFill="1" applyAlignment="1" applyProtection="1">
      <alignment/>
      <protection hidden="1"/>
    </xf>
    <xf numFmtId="0" fontId="1" fillId="45" borderId="0" xfId="0" applyFont="1" applyFill="1" applyAlignment="1" applyProtection="1">
      <alignment/>
      <protection hidden="1"/>
    </xf>
    <xf numFmtId="0" fontId="1" fillId="47" borderId="0" xfId="0" applyFont="1" applyFill="1" applyAlignment="1" applyProtection="1">
      <alignment/>
      <protection hidden="1"/>
    </xf>
    <xf numFmtId="0" fontId="22" fillId="33" borderId="13" xfId="0" applyFont="1" applyFill="1" applyBorder="1" applyAlignment="1" applyProtection="1">
      <alignment horizontal="left"/>
      <protection hidden="1"/>
    </xf>
    <xf numFmtId="0" fontId="22" fillId="33" borderId="14" xfId="0" applyFont="1" applyFill="1" applyBorder="1" applyAlignment="1" applyProtection="1">
      <alignment horizontal="left"/>
      <protection hidden="1"/>
    </xf>
    <xf numFmtId="0" fontId="20" fillId="0" borderId="0" xfId="0" applyFont="1" applyAlignment="1" applyProtection="1">
      <alignment/>
      <protection hidden="1"/>
    </xf>
    <xf numFmtId="0" fontId="1" fillId="0" borderId="27" xfId="0" applyFont="1" applyBorder="1" applyAlignment="1" applyProtection="1">
      <alignment/>
      <protection hidden="1"/>
    </xf>
    <xf numFmtId="0" fontId="1" fillId="0" borderId="28" xfId="0" applyFont="1" applyBorder="1" applyAlignment="1" applyProtection="1">
      <alignment/>
      <protection hidden="1"/>
    </xf>
    <xf numFmtId="0" fontId="1" fillId="0" borderId="29" xfId="0" applyFont="1" applyBorder="1" applyAlignment="1" applyProtection="1">
      <alignment/>
      <protection hidden="1"/>
    </xf>
    <xf numFmtId="0" fontId="23" fillId="48" borderId="0" xfId="43" applyNumberFormat="1" applyFont="1" applyFill="1" applyBorder="1" applyAlignment="1" applyProtection="1">
      <alignment horizontal="right"/>
      <protection hidden="1"/>
    </xf>
    <xf numFmtId="49" fontId="1" fillId="43" borderId="0" xfId="0" applyNumberFormat="1" applyFont="1" applyFill="1" applyAlignment="1" applyProtection="1">
      <alignment horizontal="center"/>
      <protection hidden="1"/>
    </xf>
    <xf numFmtId="0" fontId="1" fillId="45" borderId="0" xfId="0" applyFont="1" applyFill="1" applyAlignment="1" applyProtection="1">
      <alignment horizontal="center"/>
      <protection hidden="1"/>
    </xf>
    <xf numFmtId="0" fontId="8" fillId="34" borderId="0" xfId="0" applyFont="1" applyFill="1" applyAlignment="1" applyProtection="1">
      <alignment horizontal="center"/>
      <protection hidden="1"/>
    </xf>
    <xf numFmtId="0" fontId="1" fillId="45" borderId="0" xfId="0" applyFont="1" applyFill="1" applyAlignment="1" applyProtection="1">
      <alignment horizontal="right"/>
      <protection hidden="1"/>
    </xf>
    <xf numFmtId="0" fontId="1" fillId="44" borderId="0" xfId="0" applyFont="1" applyFill="1" applyAlignment="1" applyProtection="1">
      <alignment horizontal="right"/>
      <protection hidden="1"/>
    </xf>
    <xf numFmtId="0" fontId="17" fillId="34" borderId="0" xfId="0" applyFont="1" applyFill="1" applyAlignment="1" applyProtection="1">
      <alignment horizontal="center"/>
      <protection hidden="1"/>
    </xf>
    <xf numFmtId="0" fontId="1" fillId="36" borderId="11" xfId="0" applyFont="1" applyFill="1" applyBorder="1" applyAlignment="1" applyProtection="1">
      <alignment horizontal="left"/>
      <protection hidden="1"/>
    </xf>
    <xf numFmtId="0" fontId="1" fillId="36" borderId="0" xfId="0" applyFont="1" applyFill="1" applyBorder="1" applyAlignment="1" applyProtection="1">
      <alignment horizontal="left"/>
      <protection hidden="1"/>
    </xf>
    <xf numFmtId="0" fontId="1" fillId="36" borderId="12" xfId="0" applyFont="1" applyFill="1" applyBorder="1" applyAlignment="1" applyProtection="1">
      <alignment horizontal="left"/>
      <protection hidden="1"/>
    </xf>
    <xf numFmtId="49" fontId="1" fillId="49" borderId="0" xfId="0" applyNumberFormat="1" applyFont="1" applyFill="1" applyAlignment="1" applyProtection="1">
      <alignment/>
      <protection hidden="1"/>
    </xf>
    <xf numFmtId="0" fontId="1" fillId="49" borderId="0" xfId="0" applyFont="1" applyFill="1" applyAlignment="1" applyProtection="1">
      <alignment/>
      <protection hidden="1"/>
    </xf>
    <xf numFmtId="0" fontId="1" fillId="50" borderId="0" xfId="0" applyNumberFormat="1" applyFont="1" applyFill="1" applyAlignment="1" applyProtection="1">
      <alignment horizontal="center"/>
      <protection hidden="1"/>
    </xf>
    <xf numFmtId="0" fontId="21" fillId="50" borderId="0" xfId="0" applyNumberFormat="1" applyFont="1" applyFill="1" applyAlignment="1" applyProtection="1">
      <alignment horizontal="center"/>
      <protection hidden="1"/>
    </xf>
    <xf numFmtId="0" fontId="1" fillId="50" borderId="0" xfId="0" applyFont="1" applyFill="1" applyAlignment="1" applyProtection="1">
      <alignment horizontal="center"/>
      <protection hidden="1"/>
    </xf>
    <xf numFmtId="0" fontId="1" fillId="50" borderId="0" xfId="0" applyFont="1" applyFill="1" applyAlignment="1" applyProtection="1">
      <alignment/>
      <protection hidden="1"/>
    </xf>
    <xf numFmtId="0" fontId="1" fillId="38" borderId="0" xfId="0" applyFont="1" applyFill="1" applyBorder="1" applyAlignment="1" applyProtection="1">
      <alignment/>
      <protection hidden="1"/>
    </xf>
    <xf numFmtId="0" fontId="1" fillId="38" borderId="22" xfId="0" applyFont="1" applyFill="1" applyBorder="1" applyAlignment="1" applyProtection="1">
      <alignment/>
      <protection hidden="1"/>
    </xf>
    <xf numFmtId="0" fontId="1" fillId="0" borderId="25" xfId="0" applyFont="1" applyBorder="1" applyAlignment="1" applyProtection="1">
      <alignment/>
      <protection hidden="1"/>
    </xf>
    <xf numFmtId="0" fontId="1" fillId="40" borderId="21" xfId="0" applyFont="1" applyFill="1" applyBorder="1" applyAlignment="1" applyProtection="1">
      <alignment/>
      <protection hidden="1"/>
    </xf>
    <xf numFmtId="0" fontId="1" fillId="40" borderId="0" xfId="0" applyFont="1" applyFill="1" applyBorder="1" applyAlignment="1" applyProtection="1">
      <alignment/>
      <protection hidden="1"/>
    </xf>
    <xf numFmtId="0" fontId="1" fillId="34" borderId="27" xfId="0" applyNumberFormat="1" applyFont="1" applyFill="1" applyBorder="1" applyAlignment="1" applyProtection="1">
      <alignment/>
      <protection hidden="1"/>
    </xf>
    <xf numFmtId="49" fontId="1" fillId="34" borderId="28" xfId="0" applyNumberFormat="1" applyFont="1" applyFill="1" applyBorder="1" applyAlignment="1" applyProtection="1">
      <alignment/>
      <protection hidden="1"/>
    </xf>
    <xf numFmtId="49" fontId="1" fillId="34" borderId="29" xfId="0" applyNumberFormat="1" applyFont="1" applyFill="1" applyBorder="1" applyAlignment="1" applyProtection="1">
      <alignment/>
      <protection hidden="1"/>
    </xf>
    <xf numFmtId="0" fontId="1" fillId="35" borderId="27" xfId="0" applyNumberFormat="1" applyFont="1" applyFill="1" applyBorder="1" applyAlignment="1" applyProtection="1">
      <alignment/>
      <protection hidden="1"/>
    </xf>
    <xf numFmtId="49" fontId="1" fillId="35" borderId="28" xfId="0" applyNumberFormat="1" applyFont="1" applyFill="1" applyBorder="1" applyAlignment="1" applyProtection="1">
      <alignment/>
      <protection hidden="1"/>
    </xf>
    <xf numFmtId="49" fontId="1" fillId="35" borderId="29" xfId="0" applyNumberFormat="1" applyFont="1" applyFill="1" applyBorder="1" applyAlignment="1" applyProtection="1">
      <alignment/>
      <protection hidden="1"/>
    </xf>
    <xf numFmtId="0" fontId="1" fillId="40" borderId="27" xfId="0" applyNumberFormat="1" applyFont="1" applyFill="1" applyBorder="1" applyAlignment="1" applyProtection="1">
      <alignment/>
      <protection hidden="1"/>
    </xf>
    <xf numFmtId="49" fontId="1" fillId="40" borderId="28" xfId="0" applyNumberFormat="1" applyFont="1" applyFill="1" applyBorder="1" applyAlignment="1" applyProtection="1">
      <alignment/>
      <protection hidden="1"/>
    </xf>
    <xf numFmtId="49" fontId="1" fillId="40" borderId="29" xfId="0" applyNumberFormat="1" applyFont="1" applyFill="1" applyBorder="1" applyAlignment="1" applyProtection="1">
      <alignment/>
      <protection hidden="1"/>
    </xf>
    <xf numFmtId="0" fontId="1" fillId="42" borderId="27" xfId="0" applyNumberFormat="1" applyFont="1" applyFill="1" applyBorder="1" applyAlignment="1" applyProtection="1">
      <alignment/>
      <protection hidden="1"/>
    </xf>
    <xf numFmtId="49" fontId="1" fillId="42" borderId="28" xfId="0" applyNumberFormat="1" applyFont="1" applyFill="1" applyBorder="1" applyAlignment="1" applyProtection="1">
      <alignment/>
      <protection hidden="1"/>
    </xf>
    <xf numFmtId="49" fontId="1" fillId="42" borderId="29" xfId="0" applyNumberFormat="1" applyFont="1" applyFill="1" applyBorder="1" applyAlignment="1" applyProtection="1">
      <alignment/>
      <protection hidden="1"/>
    </xf>
    <xf numFmtId="0" fontId="1" fillId="44" borderId="27" xfId="0" applyNumberFormat="1" applyFont="1" applyFill="1" applyBorder="1" applyAlignment="1" applyProtection="1">
      <alignment/>
      <protection hidden="1"/>
    </xf>
    <xf numFmtId="49" fontId="1" fillId="44" borderId="28" xfId="0" applyNumberFormat="1" applyFont="1" applyFill="1" applyBorder="1" applyAlignment="1" applyProtection="1">
      <alignment/>
      <protection hidden="1"/>
    </xf>
    <xf numFmtId="49" fontId="1" fillId="44" borderId="29" xfId="0" applyNumberFormat="1" applyFont="1" applyFill="1" applyBorder="1" applyAlignment="1" applyProtection="1">
      <alignment/>
      <protection hidden="1"/>
    </xf>
    <xf numFmtId="0" fontId="1" fillId="49" borderId="0" xfId="0" applyNumberFormat="1" applyFont="1" applyFill="1" applyAlignment="1" applyProtection="1">
      <alignment/>
      <protection hidden="1"/>
    </xf>
    <xf numFmtId="0" fontId="1" fillId="46" borderId="27" xfId="0" applyNumberFormat="1" applyFont="1" applyFill="1" applyBorder="1" applyAlignment="1" applyProtection="1">
      <alignment/>
      <protection hidden="1"/>
    </xf>
    <xf numFmtId="49" fontId="1" fillId="46" borderId="28" xfId="0" applyNumberFormat="1" applyFont="1" applyFill="1" applyBorder="1" applyAlignment="1" applyProtection="1">
      <alignment/>
      <protection hidden="1"/>
    </xf>
    <xf numFmtId="49" fontId="1" fillId="46" borderId="29" xfId="0" applyNumberFormat="1" applyFont="1" applyFill="1" applyBorder="1" applyAlignment="1" applyProtection="1">
      <alignment/>
      <protection hidden="1"/>
    </xf>
    <xf numFmtId="0" fontId="1" fillId="40" borderId="0" xfId="0" applyFont="1" applyFill="1" applyAlignment="1" applyProtection="1">
      <alignment/>
      <protection hidden="1"/>
    </xf>
    <xf numFmtId="0" fontId="1" fillId="40" borderId="0" xfId="0" applyFont="1" applyFill="1" applyAlignment="1" applyProtection="1">
      <alignment horizontal="right"/>
      <protection hidden="1"/>
    </xf>
    <xf numFmtId="0" fontId="28" fillId="33" borderId="0" xfId="0" applyFont="1" applyFill="1" applyBorder="1" applyAlignment="1" applyProtection="1">
      <alignment/>
      <protection hidden="1"/>
    </xf>
    <xf numFmtId="0" fontId="29" fillId="0" borderId="0" xfId="0" applyFont="1" applyAlignment="1" applyProtection="1">
      <alignment/>
      <protection hidden="1"/>
    </xf>
    <xf numFmtId="0" fontId="30" fillId="34" borderId="0" xfId="0" applyFont="1" applyFill="1" applyAlignment="1" applyProtection="1">
      <alignment horizontal="center"/>
      <protection hidden="1"/>
    </xf>
    <xf numFmtId="0" fontId="30" fillId="40" borderId="0" xfId="0" applyFont="1" applyFill="1" applyAlignment="1" applyProtection="1">
      <alignment horizontal="center"/>
      <protection hidden="1"/>
    </xf>
    <xf numFmtId="0" fontId="30" fillId="44" borderId="0" xfId="0" applyFont="1" applyFill="1" applyAlignment="1" applyProtection="1">
      <alignment horizontal="center"/>
      <protection hidden="1"/>
    </xf>
    <xf numFmtId="0" fontId="30" fillId="0" borderId="0" xfId="0" applyFont="1" applyFill="1" applyAlignment="1" applyProtection="1">
      <alignment horizontal="center"/>
      <protection hidden="1"/>
    </xf>
    <xf numFmtId="0" fontId="31" fillId="51" borderId="0" xfId="0" applyFont="1" applyFill="1" applyBorder="1" applyAlignment="1" applyProtection="1">
      <alignment horizontal="center"/>
      <protection hidden="1"/>
    </xf>
    <xf numFmtId="0" fontId="31" fillId="52" borderId="0" xfId="0" applyFont="1" applyFill="1" applyBorder="1" applyAlignment="1" applyProtection="1">
      <alignment horizontal="center"/>
      <protection hidden="1"/>
    </xf>
    <xf numFmtId="0" fontId="31" fillId="38" borderId="0" xfId="0" applyFont="1" applyFill="1" applyBorder="1" applyAlignment="1" applyProtection="1">
      <alignment horizontal="center"/>
      <protection hidden="1"/>
    </xf>
    <xf numFmtId="0" fontId="31" fillId="53" borderId="0" xfId="0" applyFont="1" applyFill="1" applyBorder="1" applyAlignment="1" applyProtection="1">
      <alignment horizontal="center"/>
      <protection hidden="1"/>
    </xf>
    <xf numFmtId="0" fontId="1" fillId="0" borderId="0" xfId="0" applyFont="1" applyAlignment="1" applyProtection="1">
      <alignment/>
      <protection hidden="1"/>
    </xf>
    <xf numFmtId="1" fontId="1" fillId="0" borderId="25" xfId="0" applyNumberFormat="1" applyFont="1" applyBorder="1" applyAlignment="1" applyProtection="1">
      <alignment horizontal="center"/>
      <protection hidden="1"/>
    </xf>
    <xf numFmtId="0" fontId="31" fillId="51" borderId="25" xfId="0" applyFont="1" applyFill="1" applyBorder="1" applyAlignment="1" applyProtection="1">
      <alignment horizontal="center"/>
      <protection hidden="1"/>
    </xf>
    <xf numFmtId="0" fontId="1" fillId="0" borderId="25" xfId="0" applyFont="1" applyBorder="1" applyAlignment="1" applyProtection="1">
      <alignment horizontal="center"/>
      <protection hidden="1"/>
    </xf>
    <xf numFmtId="49" fontId="1" fillId="0" borderId="25" xfId="0" applyNumberFormat="1" applyFont="1" applyBorder="1" applyAlignment="1" applyProtection="1">
      <alignment/>
      <protection hidden="1"/>
    </xf>
    <xf numFmtId="0" fontId="1" fillId="0" borderId="30" xfId="0" applyFont="1" applyBorder="1" applyAlignment="1" applyProtection="1">
      <alignment horizontal="center"/>
      <protection hidden="1"/>
    </xf>
    <xf numFmtId="49" fontId="1" fillId="0" borderId="28" xfId="0" applyNumberFormat="1" applyFont="1" applyBorder="1" applyAlignment="1" applyProtection="1">
      <alignment horizontal="center"/>
      <protection hidden="1"/>
    </xf>
    <xf numFmtId="0" fontId="1" fillId="0" borderId="27" xfId="0" applyFont="1" applyBorder="1" applyAlignment="1" applyProtection="1">
      <alignment horizontal="left"/>
      <protection hidden="1"/>
    </xf>
    <xf numFmtId="0" fontId="1" fillId="0" borderId="28" xfId="0" applyFont="1" applyBorder="1" applyAlignment="1" applyProtection="1">
      <alignment horizontal="center"/>
      <protection hidden="1"/>
    </xf>
    <xf numFmtId="0" fontId="1" fillId="0" borderId="29" xfId="0" applyFont="1" applyBorder="1" applyAlignment="1" applyProtection="1">
      <alignment horizontal="center"/>
      <protection hidden="1"/>
    </xf>
    <xf numFmtId="0" fontId="32" fillId="0" borderId="0" xfId="0" applyFont="1" applyAlignment="1" applyProtection="1">
      <alignment horizontal="center"/>
      <protection hidden="1"/>
    </xf>
    <xf numFmtId="0" fontId="1" fillId="0" borderId="0" xfId="0" applyNumberFormat="1" applyFont="1" applyAlignment="1" applyProtection="1">
      <alignment horizontal="center"/>
      <protection hidden="1"/>
    </xf>
    <xf numFmtId="0" fontId="1" fillId="36" borderId="25" xfId="0" applyNumberFormat="1" applyFont="1" applyFill="1" applyBorder="1" applyAlignment="1" applyProtection="1">
      <alignment horizontal="center"/>
      <protection hidden="1"/>
    </xf>
    <xf numFmtId="0" fontId="8" fillId="0" borderId="0" xfId="0" applyFont="1" applyAlignment="1" applyProtection="1">
      <alignment/>
      <protection hidden="1"/>
    </xf>
    <xf numFmtId="49" fontId="1" fillId="0" borderId="30" xfId="0" applyNumberFormat="1" applyFont="1" applyBorder="1" applyAlignment="1" applyProtection="1">
      <alignment horizontal="center"/>
      <protection hidden="1"/>
    </xf>
    <xf numFmtId="49" fontId="1" fillId="0" borderId="0" xfId="0" applyNumberFormat="1" applyFont="1" applyBorder="1" applyAlignment="1" applyProtection="1">
      <alignment horizontal="center"/>
      <protection hidden="1"/>
    </xf>
    <xf numFmtId="0" fontId="1" fillId="0" borderId="0" xfId="0" applyFont="1" applyBorder="1" applyAlignment="1" applyProtection="1">
      <alignment horizontal="center"/>
      <protection hidden="1"/>
    </xf>
    <xf numFmtId="0" fontId="21" fillId="36" borderId="25" xfId="0" applyNumberFormat="1" applyFont="1" applyFill="1" applyBorder="1" applyAlignment="1" applyProtection="1">
      <alignment horizontal="center"/>
      <protection hidden="1"/>
    </xf>
    <xf numFmtId="0" fontId="1" fillId="46" borderId="25" xfId="0" applyFont="1" applyFill="1" applyBorder="1" applyAlignment="1" applyProtection="1">
      <alignment/>
      <protection hidden="1"/>
    </xf>
    <xf numFmtId="0" fontId="30" fillId="36" borderId="0" xfId="0" applyFont="1" applyFill="1" applyAlignment="1" applyProtection="1">
      <alignment horizontal="center"/>
      <protection hidden="1"/>
    </xf>
    <xf numFmtId="0" fontId="31" fillId="54" borderId="0" xfId="0" applyFont="1" applyFill="1" applyBorder="1" applyAlignment="1" applyProtection="1">
      <alignment horizontal="center"/>
      <protection hidden="1"/>
    </xf>
    <xf numFmtId="0" fontId="31" fillId="55" borderId="0" xfId="0" applyFont="1" applyFill="1" applyBorder="1" applyAlignment="1" applyProtection="1">
      <alignment horizontal="center"/>
      <protection hidden="1"/>
    </xf>
    <xf numFmtId="0" fontId="31" fillId="55" borderId="25" xfId="0" applyFont="1" applyFill="1" applyBorder="1" applyAlignment="1" applyProtection="1">
      <alignment horizontal="center"/>
      <protection hidden="1"/>
    </xf>
    <xf numFmtId="0" fontId="35" fillId="56" borderId="0" xfId="0" applyFont="1" applyFill="1" applyAlignment="1" applyProtection="1">
      <alignment horizontal="center"/>
      <protection hidden="1"/>
    </xf>
    <xf numFmtId="0" fontId="1" fillId="39" borderId="0" xfId="0" applyNumberFormat="1" applyFont="1" applyFill="1" applyBorder="1" applyAlignment="1" applyProtection="1">
      <alignment horizontal="center"/>
      <protection hidden="1"/>
    </xf>
    <xf numFmtId="0" fontId="21" fillId="39" borderId="0" xfId="0" applyNumberFormat="1" applyFont="1" applyFill="1" applyBorder="1" applyAlignment="1" applyProtection="1">
      <alignment horizontal="center"/>
      <protection hidden="1"/>
    </xf>
    <xf numFmtId="0" fontId="1" fillId="46" borderId="0" xfId="0" applyFont="1" applyFill="1" applyBorder="1" applyAlignment="1" applyProtection="1">
      <alignment/>
      <protection hidden="1"/>
    </xf>
    <xf numFmtId="0" fontId="1" fillId="39" borderId="25" xfId="0" applyNumberFormat="1" applyFont="1" applyFill="1" applyBorder="1" applyAlignment="1" applyProtection="1">
      <alignment horizontal="center"/>
      <protection hidden="1"/>
    </xf>
    <xf numFmtId="0" fontId="21" fillId="39" borderId="25" xfId="0" applyNumberFormat="1" applyFont="1" applyFill="1" applyBorder="1" applyAlignment="1" applyProtection="1">
      <alignment horizontal="center"/>
      <protection hidden="1"/>
    </xf>
    <xf numFmtId="0" fontId="1" fillId="41" borderId="25" xfId="0" applyNumberFormat="1" applyFont="1" applyFill="1" applyBorder="1" applyAlignment="1" applyProtection="1">
      <alignment horizontal="center"/>
      <protection hidden="1"/>
    </xf>
    <xf numFmtId="0" fontId="21" fillId="41" borderId="25" xfId="0" applyNumberFormat="1" applyFont="1" applyFill="1" applyBorder="1" applyAlignment="1" applyProtection="1">
      <alignment horizontal="center"/>
      <protection hidden="1"/>
    </xf>
    <xf numFmtId="0" fontId="1" fillId="45" borderId="25" xfId="0" applyNumberFormat="1" applyFont="1" applyFill="1" applyBorder="1" applyAlignment="1" applyProtection="1">
      <alignment horizontal="center"/>
      <protection hidden="1"/>
    </xf>
    <xf numFmtId="0" fontId="1" fillId="0" borderId="0" xfId="0" applyFont="1" applyAlignment="1">
      <alignment/>
    </xf>
    <xf numFmtId="0" fontId="0" fillId="45" borderId="0" xfId="0" applyFill="1" applyAlignment="1">
      <alignment/>
    </xf>
    <xf numFmtId="0" fontId="1" fillId="45" borderId="25" xfId="0" applyFont="1" applyFill="1" applyBorder="1" applyAlignment="1" applyProtection="1">
      <alignment/>
      <protection hidden="1"/>
    </xf>
    <xf numFmtId="0" fontId="1" fillId="34" borderId="0" xfId="0" applyFont="1" applyFill="1" applyAlignment="1" applyProtection="1">
      <alignment horizontal="center"/>
      <protection hidden="1"/>
    </xf>
    <xf numFmtId="10" fontId="1" fillId="0" borderId="0" xfId="48" applyNumberFormat="1" applyFont="1" applyFill="1" applyAlignment="1" applyProtection="1">
      <alignment horizontal="center"/>
      <protection hidden="1"/>
    </xf>
    <xf numFmtId="0" fontId="0" fillId="50" borderId="0" xfId="0" applyFill="1" applyAlignment="1">
      <alignment/>
    </xf>
    <xf numFmtId="0" fontId="1" fillId="50" borderId="25" xfId="0" applyFont="1" applyFill="1" applyBorder="1" applyAlignment="1" applyProtection="1">
      <alignment/>
      <protection hidden="1"/>
    </xf>
    <xf numFmtId="0" fontId="1" fillId="50" borderId="25" xfId="0" applyNumberFormat="1" applyFont="1" applyFill="1" applyBorder="1" applyAlignment="1" applyProtection="1">
      <alignment horizontal="center"/>
      <protection hidden="1"/>
    </xf>
    <xf numFmtId="0" fontId="31" fillId="47" borderId="0" xfId="0" applyFont="1" applyFill="1" applyBorder="1" applyAlignment="1" applyProtection="1">
      <alignment horizontal="center"/>
      <protection hidden="1"/>
    </xf>
    <xf numFmtId="0" fontId="31" fillId="47" borderId="25" xfId="0" applyFont="1" applyFill="1" applyBorder="1" applyAlignment="1" applyProtection="1">
      <alignment horizontal="center"/>
      <protection hidden="1"/>
    </xf>
    <xf numFmtId="0" fontId="0" fillId="46" borderId="0" xfId="0" applyFill="1" applyAlignment="1">
      <alignment/>
    </xf>
    <xf numFmtId="0" fontId="0" fillId="46" borderId="25" xfId="0" applyFill="1" applyBorder="1" applyAlignment="1">
      <alignment/>
    </xf>
    <xf numFmtId="0" fontId="0" fillId="47" borderId="0" xfId="0" applyFill="1" applyAlignment="1">
      <alignment/>
    </xf>
    <xf numFmtId="0" fontId="1" fillId="47" borderId="25" xfId="0" applyNumberFormat="1" applyFont="1" applyFill="1" applyBorder="1" applyAlignment="1" applyProtection="1">
      <alignment horizontal="center"/>
      <protection hidden="1"/>
    </xf>
    <xf numFmtId="0" fontId="1" fillId="47" borderId="25" xfId="0" applyFont="1" applyFill="1" applyBorder="1" applyAlignment="1" applyProtection="1">
      <alignment/>
      <protection hidden="1"/>
    </xf>
    <xf numFmtId="0" fontId="0" fillId="47" borderId="25" xfId="0" applyFill="1" applyBorder="1" applyAlignment="1">
      <alignment/>
    </xf>
    <xf numFmtId="173" fontId="1" fillId="46" borderId="0" xfId="0" applyNumberFormat="1" applyFont="1" applyFill="1" applyBorder="1" applyAlignment="1" applyProtection="1">
      <alignment horizontal="center"/>
      <protection hidden="1"/>
    </xf>
    <xf numFmtId="10" fontId="1" fillId="46" borderId="0" xfId="48" applyNumberFormat="1" applyFont="1" applyFill="1" applyBorder="1" applyAlignment="1" applyProtection="1">
      <alignment horizontal="center"/>
      <protection hidden="1"/>
    </xf>
    <xf numFmtId="0" fontId="0" fillId="43" borderId="0" xfId="0" applyFill="1" applyAlignment="1">
      <alignment/>
    </xf>
    <xf numFmtId="1" fontId="1" fillId="0" borderId="0" xfId="0" applyNumberFormat="1" applyFont="1" applyFill="1" applyAlignment="1" applyProtection="1">
      <alignment horizontal="center"/>
      <protection hidden="1"/>
    </xf>
    <xf numFmtId="0" fontId="31" fillId="0" borderId="0" xfId="0" applyFont="1" applyFill="1" applyBorder="1" applyAlignment="1" applyProtection="1">
      <alignment horizontal="center"/>
      <protection hidden="1"/>
    </xf>
    <xf numFmtId="0" fontId="1" fillId="0" borderId="0" xfId="0" applyFont="1" applyFill="1" applyAlignment="1" applyProtection="1">
      <alignment horizontal="center"/>
      <protection hidden="1"/>
    </xf>
    <xf numFmtId="170" fontId="1" fillId="0" borderId="0" xfId="48" applyNumberFormat="1" applyFont="1" applyFill="1" applyAlignment="1" applyProtection="1">
      <alignment horizontal="center"/>
      <protection hidden="1"/>
    </xf>
    <xf numFmtId="0" fontId="1" fillId="0" borderId="0" xfId="0" applyFont="1" applyFill="1" applyAlignment="1" applyProtection="1">
      <alignment/>
      <protection hidden="1"/>
    </xf>
    <xf numFmtId="49" fontId="1" fillId="0" borderId="0" xfId="0" applyNumberFormat="1" applyFont="1" applyFill="1" applyAlignment="1" applyProtection="1">
      <alignment/>
      <protection hidden="1"/>
    </xf>
    <xf numFmtId="0" fontId="1" fillId="0" borderId="0" xfId="0" applyFont="1" applyFill="1" applyBorder="1" applyAlignment="1" applyProtection="1">
      <alignment/>
      <protection hidden="1"/>
    </xf>
    <xf numFmtId="0" fontId="1" fillId="0" borderId="0" xfId="0" applyFont="1" applyFill="1" applyBorder="1" applyAlignment="1" applyProtection="1">
      <alignment horizontal="left"/>
      <protection hidden="1"/>
    </xf>
    <xf numFmtId="10" fontId="1" fillId="36" borderId="0" xfId="48" applyNumberFormat="1" applyFont="1" applyFill="1" applyAlignment="1" applyProtection="1">
      <alignment horizontal="center"/>
      <protection hidden="1"/>
    </xf>
    <xf numFmtId="173" fontId="1" fillId="36" borderId="0" xfId="0" applyNumberFormat="1" applyFont="1" applyFill="1" applyAlignment="1" applyProtection="1">
      <alignment horizontal="center"/>
      <protection hidden="1"/>
    </xf>
    <xf numFmtId="0" fontId="1" fillId="40" borderId="0" xfId="0" applyFont="1" applyFill="1" applyAlignment="1" applyProtection="1">
      <alignment horizontal="center"/>
      <protection hidden="1"/>
    </xf>
    <xf numFmtId="10" fontId="1" fillId="40" borderId="0" xfId="48" applyNumberFormat="1" applyFont="1" applyFill="1" applyAlignment="1" applyProtection="1">
      <alignment horizontal="center"/>
      <protection hidden="1"/>
    </xf>
    <xf numFmtId="173" fontId="1" fillId="34" borderId="0" xfId="0" applyNumberFormat="1" applyFont="1" applyFill="1" applyAlignment="1" applyProtection="1">
      <alignment horizontal="center"/>
      <protection hidden="1"/>
    </xf>
    <xf numFmtId="10" fontId="1" fillId="34" borderId="0" xfId="48" applyNumberFormat="1" applyFont="1" applyFill="1" applyAlignment="1" applyProtection="1">
      <alignment horizontal="center"/>
      <protection hidden="1"/>
    </xf>
    <xf numFmtId="0" fontId="1" fillId="44" borderId="0" xfId="0" applyFont="1" applyFill="1" applyAlignment="1" applyProtection="1">
      <alignment horizontal="center"/>
      <protection hidden="1"/>
    </xf>
    <xf numFmtId="170" fontId="1" fillId="44" borderId="0" xfId="48" applyNumberFormat="1" applyFont="1" applyFill="1" applyAlignment="1" applyProtection="1">
      <alignment horizontal="center"/>
      <protection hidden="1"/>
    </xf>
    <xf numFmtId="10" fontId="1" fillId="44" borderId="0" xfId="48" applyNumberFormat="1" applyFont="1" applyFill="1" applyAlignment="1" applyProtection="1">
      <alignment horizontal="center"/>
      <protection hidden="1"/>
    </xf>
    <xf numFmtId="173" fontId="1" fillId="40" borderId="0" xfId="0" applyNumberFormat="1" applyFont="1" applyFill="1" applyAlignment="1" applyProtection="1">
      <alignment horizontal="center"/>
      <protection hidden="1"/>
    </xf>
    <xf numFmtId="173" fontId="1" fillId="56" borderId="0" xfId="0" applyNumberFormat="1" applyFont="1" applyFill="1" applyAlignment="1" applyProtection="1">
      <alignment horizontal="center"/>
      <protection hidden="1"/>
    </xf>
    <xf numFmtId="10" fontId="1" fillId="56" borderId="0" xfId="48" applyNumberFormat="1" applyFont="1" applyFill="1" applyAlignment="1" applyProtection="1">
      <alignment horizontal="center"/>
      <protection hidden="1"/>
    </xf>
    <xf numFmtId="0" fontId="37" fillId="44" borderId="0" xfId="0" applyFont="1" applyFill="1" applyAlignment="1" applyProtection="1">
      <alignment horizontal="left"/>
      <protection hidden="1"/>
    </xf>
    <xf numFmtId="0" fontId="37" fillId="40" borderId="0" xfId="0" applyFont="1" applyFill="1" applyAlignment="1" applyProtection="1">
      <alignment horizontal="left"/>
      <protection hidden="1"/>
    </xf>
    <xf numFmtId="179" fontId="1" fillId="40" borderId="0" xfId="0" applyNumberFormat="1" applyFont="1" applyFill="1" applyAlignment="1" applyProtection="1">
      <alignment horizontal="center"/>
      <protection hidden="1"/>
    </xf>
    <xf numFmtId="0" fontId="37" fillId="36" borderId="0" xfId="0" applyFont="1" applyFill="1" applyAlignment="1" applyProtection="1">
      <alignment horizontal="left"/>
      <protection hidden="1"/>
    </xf>
    <xf numFmtId="0" fontId="37" fillId="34" borderId="0" xfId="0" applyFont="1" applyFill="1" applyAlignment="1" applyProtection="1">
      <alignment horizontal="left"/>
      <protection hidden="1"/>
    </xf>
    <xf numFmtId="0" fontId="37" fillId="56" borderId="0" xfId="0" applyFont="1" applyFill="1" applyAlignment="1" applyProtection="1">
      <alignment horizontal="left"/>
      <protection hidden="1"/>
    </xf>
    <xf numFmtId="14" fontId="8"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14" fontId="8" fillId="0" borderId="0" xfId="0" applyNumberFormat="1" applyFont="1" applyAlignment="1" applyProtection="1">
      <alignment horizontal="center" textRotation="90"/>
      <protection hidden="1"/>
    </xf>
    <xf numFmtId="1" fontId="8" fillId="0" borderId="0" xfId="0" applyNumberFormat="1" applyFont="1" applyAlignment="1" applyProtection="1">
      <alignment horizontal="center" textRotation="90"/>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8" fillId="0" borderId="33" xfId="0" applyFont="1" applyBorder="1" applyAlignment="1" applyProtection="1">
      <alignment horizontal="center"/>
      <protection hidden="1"/>
    </xf>
    <xf numFmtId="14" fontId="8" fillId="45" borderId="0" xfId="0" applyNumberFormat="1" applyFont="1" applyFill="1" applyAlignment="1" applyProtection="1">
      <alignment horizontal="center" textRotation="90"/>
      <protection hidden="1"/>
    </xf>
    <xf numFmtId="0" fontId="0" fillId="0" borderId="0" xfId="0" applyAlignment="1">
      <alignment/>
    </xf>
    <xf numFmtId="14" fontId="8" fillId="0" borderId="0" xfId="0" applyNumberFormat="1" applyFont="1" applyAlignment="1" applyProtection="1">
      <alignment horizontal="center" vertical="center" textRotation="90"/>
      <protection hidden="1"/>
    </xf>
    <xf numFmtId="0" fontId="41" fillId="0" borderId="0" xfId="0" applyFont="1" applyAlignment="1" applyProtection="1">
      <alignment horizontal="center"/>
      <protection hidden="1"/>
    </xf>
    <xf numFmtId="0" fontId="42" fillId="33" borderId="19" xfId="0" applyFont="1" applyFill="1" applyBorder="1" applyAlignment="1" applyProtection="1">
      <alignment horizontal="left" wrapText="1"/>
      <protection hidden="1"/>
    </xf>
    <xf numFmtId="14" fontId="1" fillId="0" borderId="0" xfId="0" applyNumberFormat="1" applyFont="1" applyAlignment="1" applyProtection="1">
      <alignment horizontal="center"/>
      <protection hidden="1"/>
    </xf>
    <xf numFmtId="0" fontId="1" fillId="41" borderId="0" xfId="0" applyNumberFormat="1" applyFont="1" applyFill="1" applyBorder="1" applyAlignment="1" applyProtection="1">
      <alignment horizontal="center"/>
      <protection hidden="1"/>
    </xf>
    <xf numFmtId="0" fontId="21" fillId="41" borderId="0" xfId="0" applyNumberFormat="1" applyFont="1" applyFill="1" applyBorder="1" applyAlignment="1" applyProtection="1">
      <alignment horizontal="center"/>
      <protection hidden="1"/>
    </xf>
    <xf numFmtId="0" fontId="1" fillId="43" borderId="0" xfId="0" applyNumberFormat="1" applyFont="1" applyFill="1" applyBorder="1" applyAlignment="1" applyProtection="1">
      <alignment horizontal="center"/>
      <protection hidden="1"/>
    </xf>
    <xf numFmtId="49" fontId="4" fillId="0" borderId="30" xfId="0" applyNumberFormat="1" applyFont="1" applyBorder="1" applyAlignment="1" applyProtection="1">
      <alignment horizontal="left"/>
      <protection hidden="1"/>
    </xf>
    <xf numFmtId="0" fontId="1" fillId="0" borderId="18" xfId="0" applyFont="1" applyBorder="1" applyAlignment="1" applyProtection="1">
      <alignment/>
      <protection hidden="1"/>
    </xf>
    <xf numFmtId="0" fontId="1" fillId="0" borderId="20" xfId="0" applyFont="1" applyBorder="1" applyAlignment="1" applyProtection="1">
      <alignment/>
      <protection hidden="1"/>
    </xf>
    <xf numFmtId="0" fontId="1" fillId="0" borderId="21" xfId="0" applyFont="1" applyBorder="1" applyAlignment="1" applyProtection="1">
      <alignment/>
      <protection hidden="1"/>
    </xf>
    <xf numFmtId="0" fontId="1" fillId="0" borderId="22" xfId="0" applyFont="1" applyBorder="1" applyAlignment="1" applyProtection="1">
      <alignment/>
      <protection hidden="1"/>
    </xf>
    <xf numFmtId="0" fontId="0" fillId="0" borderId="21" xfId="0" applyBorder="1" applyAlignment="1">
      <alignment/>
    </xf>
    <xf numFmtId="0" fontId="0" fillId="0" borderId="22" xfId="0" applyBorder="1" applyAlignment="1">
      <alignment/>
    </xf>
    <xf numFmtId="0" fontId="0" fillId="0" borderId="24" xfId="0" applyBorder="1" applyAlignment="1">
      <alignment/>
    </xf>
    <xf numFmtId="0" fontId="0" fillId="0" borderId="26" xfId="0" applyBorder="1" applyAlignment="1">
      <alignment/>
    </xf>
    <xf numFmtId="0" fontId="1" fillId="43" borderId="25" xfId="0" applyNumberFormat="1" applyFont="1" applyFill="1" applyBorder="1" applyAlignment="1" applyProtection="1">
      <alignment horizontal="center"/>
      <protection hidden="1"/>
    </xf>
    <xf numFmtId="49" fontId="1" fillId="43" borderId="25" xfId="0" applyNumberFormat="1" applyFont="1" applyFill="1" applyBorder="1" applyAlignment="1" applyProtection="1">
      <alignment/>
      <protection hidden="1"/>
    </xf>
    <xf numFmtId="0" fontId="8" fillId="0" borderId="30" xfId="0" applyFont="1" applyBorder="1" applyAlignment="1" applyProtection="1">
      <alignment/>
      <protection hidden="1"/>
    </xf>
    <xf numFmtId="0" fontId="8" fillId="44" borderId="30" xfId="0" applyFont="1" applyFill="1" applyBorder="1" applyAlignment="1" applyProtection="1">
      <alignment/>
      <protection hidden="1"/>
    </xf>
    <xf numFmtId="0" fontId="8" fillId="40" borderId="30" xfId="0" applyFont="1" applyFill="1" applyBorder="1" applyAlignment="1" applyProtection="1">
      <alignment/>
      <protection hidden="1"/>
    </xf>
    <xf numFmtId="0" fontId="8" fillId="57" borderId="30" xfId="0" applyFont="1" applyFill="1" applyBorder="1" applyAlignment="1" applyProtection="1">
      <alignment/>
      <protection hidden="1"/>
    </xf>
    <xf numFmtId="9" fontId="8" fillId="0" borderId="30" xfId="48" applyFont="1" applyBorder="1" applyAlignment="1" applyProtection="1">
      <alignment/>
      <protection hidden="1"/>
    </xf>
    <xf numFmtId="9" fontId="8" fillId="44" borderId="30" xfId="48" applyFont="1" applyFill="1" applyBorder="1" applyAlignment="1" applyProtection="1">
      <alignment/>
      <protection hidden="1"/>
    </xf>
    <xf numFmtId="9" fontId="8" fillId="57" borderId="30" xfId="48" applyFont="1" applyFill="1" applyBorder="1" applyAlignment="1" applyProtection="1">
      <alignment/>
      <protection hidden="1"/>
    </xf>
    <xf numFmtId="9" fontId="8" fillId="40" borderId="30" xfId="48" applyFont="1" applyFill="1" applyBorder="1" applyAlignment="1" applyProtection="1">
      <alignment/>
      <protection hidden="1"/>
    </xf>
    <xf numFmtId="14" fontId="28" fillId="33" borderId="0" xfId="0" applyNumberFormat="1" applyFont="1" applyFill="1" applyBorder="1" applyAlignment="1" applyProtection="1">
      <alignment/>
      <protection hidden="1"/>
    </xf>
    <xf numFmtId="14" fontId="8" fillId="0" borderId="0" xfId="0" applyNumberFormat="1" applyFont="1" applyAlignment="1" applyProtection="1">
      <alignment/>
      <protection hidden="1"/>
    </xf>
    <xf numFmtId="9" fontId="8" fillId="0" borderId="0" xfId="48" applyFont="1" applyAlignment="1" applyProtection="1">
      <alignment/>
      <protection hidden="1"/>
    </xf>
    <xf numFmtId="0" fontId="32" fillId="33" borderId="0" xfId="0" applyFont="1" applyFill="1" applyBorder="1" applyAlignment="1" applyProtection="1">
      <alignment horizontal="left"/>
      <protection hidden="1"/>
    </xf>
    <xf numFmtId="0" fontId="32" fillId="0" borderId="0" xfId="0" applyFont="1" applyAlignment="1" applyProtection="1">
      <alignment/>
      <protection hidden="1"/>
    </xf>
    <xf numFmtId="0" fontId="8" fillId="0" borderId="27" xfId="0" applyFont="1" applyBorder="1" applyAlignment="1" applyProtection="1">
      <alignment horizontal="left"/>
      <protection hidden="1"/>
    </xf>
    <xf numFmtId="0" fontId="8" fillId="0" borderId="29" xfId="0" applyFont="1" applyBorder="1" applyAlignment="1" applyProtection="1">
      <alignment/>
      <protection hidden="1"/>
    </xf>
    <xf numFmtId="0" fontId="8" fillId="44" borderId="27" xfId="0" applyFont="1" applyFill="1" applyBorder="1" applyAlignment="1" applyProtection="1">
      <alignment horizontal="left"/>
      <protection hidden="1"/>
    </xf>
    <xf numFmtId="0" fontId="8" fillId="44" borderId="29" xfId="0" applyFont="1" applyFill="1" applyBorder="1" applyAlignment="1" applyProtection="1">
      <alignment/>
      <protection hidden="1"/>
    </xf>
    <xf numFmtId="14" fontId="8" fillId="58" borderId="0" xfId="0" applyNumberFormat="1" applyFont="1" applyFill="1" applyAlignment="1" applyProtection="1">
      <alignment horizontal="center" textRotation="90"/>
      <protection hidden="1"/>
    </xf>
    <xf numFmtId="0" fontId="8" fillId="58" borderId="30" xfId="0" applyNumberFormat="1" applyFont="1" applyFill="1" applyBorder="1" applyAlignment="1" applyProtection="1">
      <alignment horizontal="center"/>
      <protection hidden="1"/>
    </xf>
    <xf numFmtId="0" fontId="1" fillId="46" borderId="0" xfId="0" applyFont="1" applyFill="1" applyAlignment="1" applyProtection="1">
      <alignment horizontal="center"/>
      <protection hidden="1"/>
    </xf>
    <xf numFmtId="0" fontId="1" fillId="46" borderId="25" xfId="0" applyFont="1" applyFill="1" applyBorder="1" applyAlignment="1" applyProtection="1">
      <alignment horizontal="center"/>
      <protection hidden="1"/>
    </xf>
    <xf numFmtId="49" fontId="21" fillId="43" borderId="0" xfId="0" applyNumberFormat="1" applyFont="1" applyFill="1" applyAlignment="1" applyProtection="1">
      <alignment horizontal="center"/>
      <protection hidden="1"/>
    </xf>
    <xf numFmtId="0" fontId="0" fillId="0" borderId="0" xfId="0" applyAlignment="1">
      <alignment horizontal="center"/>
    </xf>
    <xf numFmtId="0" fontId="45" fillId="34" borderId="0" xfId="0" applyFont="1" applyFill="1" applyAlignment="1" applyProtection="1">
      <alignment horizontal="center"/>
      <protection hidden="1"/>
    </xf>
    <xf numFmtId="0" fontId="49" fillId="36" borderId="0" xfId="0" applyFont="1" applyFill="1" applyBorder="1" applyAlignment="1" applyProtection="1">
      <alignment horizontal="left"/>
      <protection hidden="1"/>
    </xf>
    <xf numFmtId="14" fontId="8" fillId="0" borderId="0" xfId="0" applyNumberFormat="1" applyFont="1" applyAlignment="1" applyProtection="1">
      <alignment horizontal="center" vertical="top" textRotation="90"/>
      <protection hidden="1"/>
    </xf>
    <xf numFmtId="0" fontId="51" fillId="34" borderId="0" xfId="0" applyFont="1" applyFill="1" applyAlignment="1" applyProtection="1">
      <alignment horizontal="center"/>
      <protection hidden="1" locked="0"/>
    </xf>
    <xf numFmtId="170" fontId="1" fillId="46" borderId="25" xfId="48" applyNumberFormat="1" applyFont="1" applyFill="1" applyBorder="1" applyAlignment="1" applyProtection="1">
      <alignment horizontal="center"/>
      <protection hidden="1"/>
    </xf>
    <xf numFmtId="0" fontId="1" fillId="46" borderId="0" xfId="0" applyFont="1" applyFill="1" applyBorder="1" applyAlignment="1" applyProtection="1">
      <alignment horizontal="center"/>
      <protection hidden="1"/>
    </xf>
    <xf numFmtId="0" fontId="52" fillId="54" borderId="0" xfId="0" applyNumberFormat="1" applyFont="1" applyFill="1" applyAlignment="1" applyProtection="1">
      <alignment horizontal="center"/>
      <protection hidden="1"/>
    </xf>
    <xf numFmtId="0" fontId="56" fillId="47" borderId="0" xfId="0" applyFont="1" applyFill="1" applyBorder="1" applyAlignment="1" applyProtection="1">
      <alignment horizontal="center"/>
      <protection hidden="1"/>
    </xf>
    <xf numFmtId="49" fontId="1" fillId="59" borderId="0" xfId="0" applyNumberFormat="1" applyFont="1" applyFill="1" applyAlignment="1" applyProtection="1">
      <alignment/>
      <protection hidden="1"/>
    </xf>
    <xf numFmtId="0" fontId="56" fillId="47" borderId="25" xfId="0" applyFont="1" applyFill="1" applyBorder="1" applyAlignment="1" applyProtection="1">
      <alignment horizontal="center"/>
      <protection hidden="1"/>
    </xf>
    <xf numFmtId="49" fontId="1" fillId="59" borderId="28" xfId="0" applyNumberFormat="1" applyFont="1" applyFill="1" applyBorder="1" applyAlignment="1" applyProtection="1">
      <alignment/>
      <protection hidden="1"/>
    </xf>
    <xf numFmtId="49" fontId="1" fillId="59" borderId="29" xfId="0" applyNumberFormat="1" applyFont="1" applyFill="1" applyBorder="1" applyAlignment="1" applyProtection="1">
      <alignment/>
      <protection hidden="1"/>
    </xf>
    <xf numFmtId="0" fontId="52" fillId="59" borderId="27" xfId="0" applyNumberFormat="1" applyFont="1" applyFill="1" applyBorder="1" applyAlignment="1" applyProtection="1">
      <alignment/>
      <protection hidden="1"/>
    </xf>
    <xf numFmtId="49" fontId="52" fillId="59" borderId="0" xfId="0" applyNumberFormat="1" applyFont="1" applyFill="1" applyAlignment="1" applyProtection="1">
      <alignment/>
      <protection hidden="1"/>
    </xf>
    <xf numFmtId="0" fontId="52" fillId="54" borderId="0" xfId="0" applyNumberFormat="1" applyFont="1" applyFill="1" applyBorder="1" applyAlignment="1" applyProtection="1">
      <alignment horizontal="center"/>
      <protection hidden="1"/>
    </xf>
    <xf numFmtId="0" fontId="52" fillId="54" borderId="25" xfId="0" applyNumberFormat="1" applyFont="1" applyFill="1" applyBorder="1" applyAlignment="1" applyProtection="1">
      <alignment horizontal="center"/>
      <protection hidden="1"/>
    </xf>
    <xf numFmtId="0" fontId="53" fillId="54" borderId="0" xfId="0" applyNumberFormat="1" applyFont="1" applyFill="1" applyAlignment="1" applyProtection="1">
      <alignment horizontal="center"/>
      <protection hidden="1"/>
    </xf>
    <xf numFmtId="0" fontId="53" fillId="54" borderId="0" xfId="0" applyNumberFormat="1" applyFont="1" applyFill="1" applyBorder="1" applyAlignment="1" applyProtection="1">
      <alignment horizontal="center"/>
      <protection hidden="1"/>
    </xf>
    <xf numFmtId="0" fontId="53" fillId="54" borderId="25" xfId="0" applyNumberFormat="1" applyFont="1" applyFill="1" applyBorder="1" applyAlignment="1" applyProtection="1">
      <alignment horizontal="center"/>
      <protection hidden="1"/>
    </xf>
    <xf numFmtId="49" fontId="52" fillId="54" borderId="0" xfId="0" applyNumberFormat="1" applyFont="1" applyFill="1" applyAlignment="1" applyProtection="1">
      <alignment/>
      <protection hidden="1"/>
    </xf>
    <xf numFmtId="0" fontId="1" fillId="0" borderId="29" xfId="0" applyFont="1" applyBorder="1" applyAlignment="1" applyProtection="1">
      <alignment horizontal="right"/>
      <protection hidden="1"/>
    </xf>
    <xf numFmtId="0" fontId="1" fillId="0" borderId="33" xfId="0" applyFont="1" applyBorder="1" applyAlignment="1" applyProtection="1">
      <alignment horizontal="center"/>
      <protection hidden="1"/>
    </xf>
    <xf numFmtId="0" fontId="21" fillId="46" borderId="0" xfId="0" applyNumberFormat="1" applyFont="1" applyFill="1" applyAlignment="1" applyProtection="1">
      <alignment horizontal="center"/>
      <protection hidden="1"/>
    </xf>
    <xf numFmtId="49" fontId="1" fillId="46" borderId="0" xfId="0" applyNumberFormat="1" applyFont="1" applyFill="1" applyAlignment="1" applyProtection="1">
      <alignment horizontal="center"/>
      <protection hidden="1"/>
    </xf>
    <xf numFmtId="49" fontId="1" fillId="46" borderId="25" xfId="0" applyNumberFormat="1" applyFont="1" applyFill="1" applyBorder="1" applyAlignment="1" applyProtection="1">
      <alignment/>
      <protection hidden="1"/>
    </xf>
    <xf numFmtId="49" fontId="1" fillId="0" borderId="0" xfId="0" applyNumberFormat="1" applyFont="1" applyBorder="1" applyAlignment="1" applyProtection="1">
      <alignment/>
      <protection hidden="1"/>
    </xf>
    <xf numFmtId="1" fontId="1" fillId="0" borderId="0" xfId="0" applyNumberFormat="1" applyFont="1" applyBorder="1" applyAlignment="1" applyProtection="1">
      <alignment horizontal="center"/>
      <protection hidden="1"/>
    </xf>
    <xf numFmtId="170" fontId="1" fillId="46" borderId="0" xfId="48" applyNumberFormat="1" applyFont="1" applyFill="1" applyBorder="1" applyAlignment="1" applyProtection="1">
      <alignment horizontal="center"/>
      <protection hidden="1"/>
    </xf>
    <xf numFmtId="0" fontId="31" fillId="54" borderId="25" xfId="0" applyFont="1" applyFill="1" applyBorder="1" applyAlignment="1" applyProtection="1">
      <alignment horizontal="center"/>
      <protection hidden="1"/>
    </xf>
    <xf numFmtId="0" fontId="43" fillId="33" borderId="25" xfId="0" applyFont="1" applyFill="1" applyBorder="1" applyAlignment="1" applyProtection="1">
      <alignment horizontal="left"/>
      <protection hidden="1"/>
    </xf>
    <xf numFmtId="0" fontId="54" fillId="46" borderId="0" xfId="0" applyFont="1" applyFill="1" applyAlignment="1" applyProtection="1">
      <alignment/>
      <protection hidden="1"/>
    </xf>
    <xf numFmtId="0" fontId="54" fillId="46" borderId="0" xfId="0" applyFont="1" applyFill="1" applyAlignment="1" applyProtection="1">
      <alignment/>
      <protection hidden="1"/>
    </xf>
    <xf numFmtId="0" fontId="57" fillId="46" borderId="0" xfId="0" applyFont="1" applyFill="1" applyAlignment="1" applyProtection="1">
      <alignment/>
      <protection hidden="1"/>
    </xf>
    <xf numFmtId="0" fontId="8" fillId="40" borderId="27" xfId="0" applyFont="1" applyFill="1" applyBorder="1" applyAlignment="1" applyProtection="1">
      <alignment horizontal="left"/>
      <protection hidden="1"/>
    </xf>
    <xf numFmtId="0" fontId="8" fillId="40" borderId="29" xfId="0" applyFont="1" applyFill="1" applyBorder="1" applyAlignment="1" applyProtection="1">
      <alignment/>
      <protection hidden="1"/>
    </xf>
    <xf numFmtId="0" fontId="8" fillId="57" borderId="27" xfId="0" applyFont="1" applyFill="1" applyBorder="1" applyAlignment="1" applyProtection="1">
      <alignment horizontal="left"/>
      <protection hidden="1"/>
    </xf>
    <xf numFmtId="0" fontId="1" fillId="57" borderId="29" xfId="0" applyFont="1" applyFill="1" applyBorder="1" applyAlignment="1" applyProtection="1">
      <alignment/>
      <protection hidden="1"/>
    </xf>
    <xf numFmtId="0" fontId="1" fillId="44" borderId="29" xfId="0" applyFont="1" applyFill="1" applyBorder="1" applyAlignment="1" applyProtection="1">
      <alignment/>
      <protection hidden="1"/>
    </xf>
    <xf numFmtId="0" fontId="8" fillId="35" borderId="27" xfId="0" applyFont="1" applyFill="1" applyBorder="1" applyAlignment="1" applyProtection="1">
      <alignment horizontal="left"/>
      <protection hidden="1"/>
    </xf>
    <xf numFmtId="0" fontId="1" fillId="35" borderId="29" xfId="0" applyFont="1" applyFill="1" applyBorder="1" applyAlignment="1" applyProtection="1">
      <alignment/>
      <protection hidden="1"/>
    </xf>
    <xf numFmtId="0" fontId="8" fillId="0" borderId="19" xfId="0" applyFont="1" applyBorder="1" applyAlignment="1" applyProtection="1">
      <alignment/>
      <protection hidden="1"/>
    </xf>
    <xf numFmtId="14" fontId="8" fillId="0" borderId="19" xfId="0" applyNumberFormat="1" applyFont="1" applyBorder="1" applyAlignment="1" applyProtection="1">
      <alignment/>
      <protection hidden="1"/>
    </xf>
    <xf numFmtId="9" fontId="8" fillId="0" borderId="19" xfId="48" applyFont="1" applyBorder="1" applyAlignment="1" applyProtection="1">
      <alignment/>
      <protection hidden="1"/>
    </xf>
    <xf numFmtId="0" fontId="8" fillId="0" borderId="19" xfId="0" applyFont="1" applyFill="1" applyBorder="1" applyAlignment="1" applyProtection="1">
      <alignment/>
      <protection hidden="1"/>
    </xf>
    <xf numFmtId="170" fontId="19" fillId="33" borderId="0" xfId="48" applyNumberFormat="1" applyFont="1" applyFill="1" applyBorder="1" applyAlignment="1" applyProtection="1">
      <alignment horizontal="right"/>
      <protection hidden="1"/>
    </xf>
    <xf numFmtId="171" fontId="19" fillId="33" borderId="0" xfId="0" applyNumberFormat="1" applyFont="1" applyFill="1" applyBorder="1" applyAlignment="1" applyProtection="1">
      <alignment horizontal="right" shrinkToFit="1"/>
      <protection hidden="1"/>
    </xf>
    <xf numFmtId="1" fontId="19" fillId="33" borderId="0" xfId="0" applyNumberFormat="1" applyFont="1" applyFill="1" applyBorder="1" applyAlignment="1" applyProtection="1">
      <alignment horizontal="right"/>
      <protection hidden="1"/>
    </xf>
    <xf numFmtId="0" fontId="19" fillId="33" borderId="0" xfId="0" applyFont="1" applyFill="1" applyBorder="1" applyAlignment="1" applyProtection="1">
      <alignment horizontal="right"/>
      <protection hidden="1"/>
    </xf>
    <xf numFmtId="14" fontId="19" fillId="33" borderId="0" xfId="0" applyNumberFormat="1" applyFont="1" applyFill="1" applyBorder="1" applyAlignment="1" applyProtection="1">
      <alignment horizontal="center" shrinkToFit="1"/>
      <protection hidden="1"/>
    </xf>
    <xf numFmtId="0" fontId="4" fillId="33" borderId="23" xfId="0" applyFont="1" applyFill="1" applyBorder="1" applyAlignment="1" applyProtection="1">
      <alignment horizontal="left"/>
      <protection hidden="1"/>
    </xf>
    <xf numFmtId="0" fontId="1" fillId="48" borderId="0" xfId="0" applyFont="1" applyFill="1" applyAlignment="1" applyProtection="1">
      <alignment/>
      <protection hidden="1"/>
    </xf>
    <xf numFmtId="49" fontId="36" fillId="0" borderId="30" xfId="0" applyNumberFormat="1" applyFont="1" applyBorder="1" applyAlignment="1" applyProtection="1">
      <alignment/>
      <protection hidden="1"/>
    </xf>
    <xf numFmtId="0" fontId="36" fillId="0" borderId="30" xfId="0" applyFont="1" applyBorder="1" applyAlignment="1">
      <alignment horizontal="right"/>
    </xf>
    <xf numFmtId="0" fontId="36" fillId="49" borderId="30" xfId="0" applyNumberFormat="1" applyFont="1" applyFill="1" applyBorder="1" applyAlignment="1" applyProtection="1">
      <alignment horizontal="center"/>
      <protection hidden="1"/>
    </xf>
    <xf numFmtId="49" fontId="36" fillId="0" borderId="30" xfId="0" applyNumberFormat="1" applyFont="1" applyBorder="1" applyAlignment="1" applyProtection="1">
      <alignment horizontal="left"/>
      <protection hidden="1"/>
    </xf>
    <xf numFmtId="0" fontId="43" fillId="33" borderId="0" xfId="0" applyFont="1" applyFill="1" applyBorder="1" applyAlignment="1" applyProtection="1">
      <alignment horizontal="left"/>
      <protection hidden="1"/>
    </xf>
    <xf numFmtId="0" fontId="43" fillId="33" borderId="25" xfId="0" applyFont="1" applyFill="1" applyBorder="1" applyAlignment="1" applyProtection="1">
      <alignment horizontal="center"/>
      <protection hidden="1"/>
    </xf>
    <xf numFmtId="0" fontId="43" fillId="33" borderId="0" xfId="0" applyFont="1" applyFill="1" applyBorder="1" applyAlignment="1" applyProtection="1">
      <alignment horizontal="center"/>
      <protection hidden="1"/>
    </xf>
    <xf numFmtId="0" fontId="4" fillId="33" borderId="22" xfId="0" applyFont="1" applyFill="1" applyBorder="1" applyAlignment="1" applyProtection="1">
      <alignment horizontal="left"/>
      <protection hidden="1"/>
    </xf>
    <xf numFmtId="0" fontId="63" fillId="58" borderId="30" xfId="0" applyNumberFormat="1" applyFont="1" applyFill="1" applyBorder="1" applyAlignment="1" applyProtection="1">
      <alignment horizontal="center"/>
      <protection hidden="1"/>
    </xf>
    <xf numFmtId="0" fontId="1" fillId="0" borderId="0" xfId="0" applyFont="1" applyAlignment="1" applyProtection="1">
      <alignment horizontal="center" shrinkToFit="1"/>
      <protection hidden="1"/>
    </xf>
    <xf numFmtId="0" fontId="42" fillId="0" borderId="0" xfId="0" applyFont="1" applyAlignment="1" applyProtection="1">
      <alignment horizontal="center"/>
      <protection hidden="1"/>
    </xf>
    <xf numFmtId="0" fontId="42" fillId="0" borderId="0" xfId="0" applyFont="1" applyAlignment="1" applyProtection="1">
      <alignment horizontal="left"/>
      <protection hidden="1"/>
    </xf>
    <xf numFmtId="0" fontId="8" fillId="53" borderId="30" xfId="0" applyNumberFormat="1" applyFont="1" applyFill="1" applyBorder="1" applyAlignment="1" applyProtection="1">
      <alignment horizontal="center"/>
      <protection hidden="1"/>
    </xf>
    <xf numFmtId="0" fontId="1" fillId="34" borderId="0" xfId="0" applyFont="1" applyFill="1" applyBorder="1" applyAlignment="1" applyProtection="1">
      <alignment horizontal="left"/>
      <protection hidden="1"/>
    </xf>
    <xf numFmtId="0" fontId="8" fillId="34" borderId="0" xfId="0" applyFont="1" applyFill="1" applyBorder="1" applyAlignment="1" applyProtection="1">
      <alignment horizontal="center"/>
      <protection hidden="1"/>
    </xf>
    <xf numFmtId="0" fontId="25" fillId="34" borderId="0" xfId="0" applyFont="1" applyFill="1" applyBorder="1" applyAlignment="1" applyProtection="1">
      <alignment horizontal="right"/>
      <protection hidden="1"/>
    </xf>
    <xf numFmtId="186" fontId="46" fillId="34" borderId="0" xfId="0" applyNumberFormat="1" applyFont="1" applyFill="1" applyAlignment="1" applyProtection="1">
      <alignment horizontal="center"/>
      <protection hidden="1"/>
    </xf>
    <xf numFmtId="186" fontId="44" fillId="34" borderId="0" xfId="0" applyNumberFormat="1" applyFont="1" applyFill="1" applyAlignment="1" applyProtection="1">
      <alignment/>
      <protection hidden="1"/>
    </xf>
    <xf numFmtId="186" fontId="44" fillId="34" borderId="0" xfId="0" applyNumberFormat="1" applyFont="1" applyFill="1" applyAlignment="1" applyProtection="1">
      <alignment horizontal="center"/>
      <protection hidden="1"/>
    </xf>
    <xf numFmtId="14" fontId="25" fillId="34" borderId="0" xfId="0" applyNumberFormat="1" applyFont="1" applyFill="1" applyBorder="1" applyAlignment="1" applyProtection="1">
      <alignment horizontal="left"/>
      <protection hidden="1"/>
    </xf>
    <xf numFmtId="14" fontId="50" fillId="34" borderId="0" xfId="0" applyNumberFormat="1" applyFont="1" applyFill="1" applyBorder="1" applyAlignment="1" applyProtection="1">
      <alignment horizontal="right"/>
      <protection hidden="1"/>
    </xf>
    <xf numFmtId="1" fontId="8" fillId="0" borderId="0" xfId="0" applyNumberFormat="1" applyFont="1" applyAlignment="1" applyProtection="1">
      <alignment horizontal="center" shrinkToFit="1"/>
      <protection hidden="1"/>
    </xf>
    <xf numFmtId="14" fontId="8" fillId="0" borderId="0" xfId="0" applyNumberFormat="1" applyFont="1" applyAlignment="1" applyProtection="1">
      <alignment horizontal="center" shrinkToFit="1"/>
      <protection hidden="1"/>
    </xf>
    <xf numFmtId="0" fontId="1" fillId="0" borderId="0" xfId="0" applyFont="1" applyAlignment="1" applyProtection="1">
      <alignment shrinkToFit="1"/>
      <protection hidden="1"/>
    </xf>
    <xf numFmtId="14" fontId="8" fillId="45" borderId="0" xfId="0" applyNumberFormat="1" applyFont="1" applyFill="1" applyAlignment="1" applyProtection="1">
      <alignment horizontal="center" shrinkToFit="1"/>
      <protection hidden="1"/>
    </xf>
    <xf numFmtId="0" fontId="8" fillId="0" borderId="0" xfId="0" applyFont="1" applyAlignment="1" applyProtection="1">
      <alignment horizontal="center" shrinkToFit="1"/>
      <protection hidden="1"/>
    </xf>
    <xf numFmtId="14" fontId="8" fillId="40" borderId="0" xfId="0" applyNumberFormat="1" applyFont="1" applyFill="1" applyAlignment="1" applyProtection="1">
      <alignment horizontal="center" shrinkToFit="1"/>
      <protection hidden="1"/>
    </xf>
    <xf numFmtId="0" fontId="8" fillId="40" borderId="0" xfId="0" applyFont="1" applyFill="1" applyAlignment="1" applyProtection="1">
      <alignment horizontal="center" shrinkToFit="1"/>
      <protection hidden="1"/>
    </xf>
    <xf numFmtId="0" fontId="0" fillId="0" borderId="0" xfId="0" applyAlignment="1">
      <alignment shrinkToFit="1"/>
    </xf>
    <xf numFmtId="49" fontId="1" fillId="48" borderId="0" xfId="0" applyNumberFormat="1" applyFont="1" applyFill="1" applyAlignment="1" applyProtection="1">
      <alignment/>
      <protection hidden="1"/>
    </xf>
    <xf numFmtId="0" fontId="23" fillId="48" borderId="34" xfId="43" applyNumberFormat="1" applyFont="1" applyFill="1" applyBorder="1" applyAlignment="1" applyProtection="1">
      <alignment horizontal="right"/>
      <protection hidden="1"/>
    </xf>
    <xf numFmtId="0" fontId="23" fillId="48" borderId="35" xfId="43" applyNumberFormat="1" applyFont="1" applyFill="1" applyBorder="1" applyAlignment="1" applyProtection="1">
      <alignment horizontal="right"/>
      <protection hidden="1"/>
    </xf>
    <xf numFmtId="0" fontId="0" fillId="48" borderId="35" xfId="0" applyFill="1" applyBorder="1" applyAlignment="1">
      <alignment/>
    </xf>
    <xf numFmtId="0" fontId="0" fillId="48" borderId="36" xfId="0" applyFill="1" applyBorder="1" applyAlignment="1">
      <alignment/>
    </xf>
    <xf numFmtId="49" fontId="1" fillId="48" borderId="37" xfId="0" applyNumberFormat="1" applyFont="1" applyFill="1" applyBorder="1" applyAlignment="1" applyProtection="1">
      <alignment/>
      <protection hidden="1"/>
    </xf>
    <xf numFmtId="0" fontId="8" fillId="40" borderId="0" xfId="0" applyNumberFormat="1" applyFont="1" applyFill="1" applyAlignment="1" applyProtection="1">
      <alignment horizontal="center" shrinkToFit="1"/>
      <protection hidden="1"/>
    </xf>
    <xf numFmtId="0" fontId="23" fillId="48" borderId="38" xfId="43" applyNumberFormat="1" applyFont="1" applyFill="1" applyBorder="1" applyAlignment="1" applyProtection="1">
      <alignment horizontal="right"/>
      <protection hidden="1"/>
    </xf>
    <xf numFmtId="0" fontId="23" fillId="48" borderId="39" xfId="43" applyNumberFormat="1" applyFont="1" applyFill="1" applyBorder="1" applyAlignment="1" applyProtection="1">
      <alignment horizontal="right"/>
      <protection hidden="1"/>
    </xf>
    <xf numFmtId="49" fontId="1" fillId="48" borderId="39" xfId="0" applyNumberFormat="1" applyFont="1" applyFill="1" applyBorder="1" applyAlignment="1" applyProtection="1">
      <alignment/>
      <protection hidden="1"/>
    </xf>
    <xf numFmtId="49" fontId="1" fillId="48" borderId="40" xfId="0" applyNumberFormat="1" applyFont="1" applyFill="1" applyBorder="1" applyAlignment="1" applyProtection="1">
      <alignment/>
      <protection hidden="1"/>
    </xf>
    <xf numFmtId="0" fontId="0" fillId="0" borderId="0" xfId="0" applyFill="1" applyBorder="1" applyAlignment="1">
      <alignment/>
    </xf>
    <xf numFmtId="0" fontId="65" fillId="48" borderId="35" xfId="43" applyNumberFormat="1" applyFont="1" applyFill="1" applyBorder="1" applyAlignment="1" applyProtection="1">
      <alignment horizontal="right"/>
      <protection hidden="1"/>
    </xf>
    <xf numFmtId="0" fontId="65" fillId="48" borderId="35" xfId="43" applyNumberFormat="1" applyFont="1" applyFill="1" applyBorder="1" applyAlignment="1" applyProtection="1">
      <alignment horizontal="left"/>
      <protection hidden="1"/>
    </xf>
    <xf numFmtId="49" fontId="52" fillId="59" borderId="0" xfId="0" applyNumberFormat="1" applyFont="1" applyFill="1" applyAlignment="1" applyProtection="1">
      <alignment horizontal="left"/>
      <protection hidden="1"/>
    </xf>
    <xf numFmtId="0" fontId="1" fillId="0" borderId="21" xfId="0" applyFont="1" applyFill="1" applyBorder="1" applyAlignment="1" applyProtection="1">
      <alignment/>
      <protection hidden="1"/>
    </xf>
    <xf numFmtId="0" fontId="1" fillId="0" borderId="22" xfId="0" applyFont="1" applyFill="1" applyBorder="1" applyAlignment="1" applyProtection="1">
      <alignment/>
      <protection hidden="1"/>
    </xf>
    <xf numFmtId="49" fontId="1" fillId="60" borderId="0" xfId="0" applyNumberFormat="1" applyFont="1" applyFill="1" applyAlignment="1" applyProtection="1">
      <alignment/>
      <protection hidden="1"/>
    </xf>
    <xf numFmtId="186" fontId="67" fillId="48" borderId="41" xfId="43" applyNumberFormat="1" applyFont="1" applyFill="1" applyBorder="1" applyAlignment="1" applyProtection="1">
      <alignment horizontal="right"/>
      <protection hidden="1"/>
    </xf>
    <xf numFmtId="0" fontId="36" fillId="0" borderId="0" xfId="0" applyFont="1" applyAlignment="1" applyProtection="1">
      <alignment/>
      <protection hidden="1"/>
    </xf>
    <xf numFmtId="14" fontId="1" fillId="0" borderId="0" xfId="0" applyNumberFormat="1" applyFont="1" applyBorder="1" applyAlignment="1" applyProtection="1">
      <alignment/>
      <protection hidden="1"/>
    </xf>
    <xf numFmtId="1" fontId="31" fillId="38" borderId="0" xfId="0" applyNumberFormat="1" applyFont="1" applyFill="1" applyBorder="1" applyAlignment="1" applyProtection="1">
      <alignment horizontal="center" shrinkToFit="1"/>
      <protection hidden="1"/>
    </xf>
    <xf numFmtId="1" fontId="31" fillId="52" borderId="0" xfId="0" applyNumberFormat="1" applyFont="1" applyFill="1" applyBorder="1" applyAlignment="1" applyProtection="1">
      <alignment horizontal="center" shrinkToFit="1"/>
      <protection hidden="1"/>
    </xf>
    <xf numFmtId="49" fontId="68" fillId="35" borderId="0" xfId="0" applyNumberFormat="1" applyFont="1" applyFill="1" applyAlignment="1" applyProtection="1">
      <alignment/>
      <protection hidden="1"/>
    </xf>
    <xf numFmtId="49" fontId="68" fillId="40" borderId="0" xfId="0" applyNumberFormat="1" applyFont="1" applyFill="1" applyAlignment="1" applyProtection="1">
      <alignment/>
      <protection hidden="1"/>
    </xf>
    <xf numFmtId="0" fontId="1" fillId="36" borderId="0" xfId="0" applyNumberFormat="1" applyFont="1" applyFill="1" applyAlignment="1" applyProtection="1">
      <alignment horizontal="center"/>
      <protection hidden="1"/>
    </xf>
    <xf numFmtId="173" fontId="1" fillId="0" borderId="27" xfId="0" applyNumberFormat="1" applyFont="1" applyBorder="1" applyAlignment="1" applyProtection="1">
      <alignment horizontal="center"/>
      <protection hidden="1"/>
    </xf>
    <xf numFmtId="0" fontId="0" fillId="0" borderId="29" xfId="0" applyBorder="1" applyAlignment="1">
      <alignment/>
    </xf>
    <xf numFmtId="0" fontId="1" fillId="35" borderId="21" xfId="0" applyFont="1" applyFill="1" applyBorder="1" applyAlignment="1" applyProtection="1">
      <alignment horizontal="center"/>
      <protection hidden="1"/>
    </xf>
    <xf numFmtId="0" fontId="1" fillId="35" borderId="22" xfId="0" applyFont="1" applyFill="1" applyBorder="1" applyAlignment="1" applyProtection="1">
      <alignment horizontal="center"/>
      <protection hidden="1"/>
    </xf>
    <xf numFmtId="173" fontId="52" fillId="54" borderId="0" xfId="0" applyNumberFormat="1" applyFont="1" applyFill="1" applyBorder="1" applyAlignment="1" applyProtection="1">
      <alignment horizontal="center"/>
      <protection hidden="1"/>
    </xf>
    <xf numFmtId="0" fontId="1" fillId="39" borderId="0" xfId="0" applyNumberFormat="1" applyFont="1" applyFill="1" applyBorder="1" applyAlignment="1" applyProtection="1">
      <alignment horizontal="center"/>
      <protection hidden="1"/>
    </xf>
    <xf numFmtId="0" fontId="1" fillId="46" borderId="0" xfId="0" applyNumberFormat="1" applyFont="1" applyFill="1" applyAlignment="1" applyProtection="1">
      <alignment horizontal="center"/>
      <protection hidden="1"/>
    </xf>
    <xf numFmtId="0" fontId="1" fillId="39" borderId="0" xfId="0" applyNumberFormat="1" applyFont="1" applyFill="1" applyAlignment="1" applyProtection="1">
      <alignment horizontal="center"/>
      <protection hidden="1"/>
    </xf>
    <xf numFmtId="14" fontId="36" fillId="46" borderId="0" xfId="0" applyNumberFormat="1" applyFont="1" applyFill="1" applyBorder="1" applyAlignment="1" applyProtection="1">
      <alignment horizontal="center"/>
      <protection hidden="1"/>
    </xf>
    <xf numFmtId="0" fontId="36" fillId="46" borderId="0" xfId="0" applyNumberFormat="1" applyFont="1" applyFill="1" applyBorder="1" applyAlignment="1" applyProtection="1">
      <alignment horizontal="center"/>
      <protection hidden="1"/>
    </xf>
    <xf numFmtId="0" fontId="1" fillId="46" borderId="0" xfId="0" applyNumberFormat="1" applyFont="1" applyFill="1" applyBorder="1" applyAlignment="1" applyProtection="1">
      <alignment horizontal="center"/>
      <protection hidden="1"/>
    </xf>
    <xf numFmtId="0" fontId="1" fillId="46" borderId="25" xfId="0" applyNumberFormat="1" applyFont="1" applyFill="1" applyBorder="1" applyAlignment="1" applyProtection="1">
      <alignment horizontal="center"/>
      <protection hidden="1"/>
    </xf>
    <xf numFmtId="0" fontId="1" fillId="39" borderId="25" xfId="0" applyNumberFormat="1" applyFont="1" applyFill="1" applyBorder="1" applyAlignment="1" applyProtection="1">
      <alignment horizontal="center"/>
      <protection hidden="1"/>
    </xf>
    <xf numFmtId="0" fontId="1" fillId="0" borderId="21" xfId="0" applyFont="1" applyFill="1" applyBorder="1" applyAlignment="1" applyProtection="1">
      <alignment horizontal="center"/>
      <protection hidden="1"/>
    </xf>
    <xf numFmtId="0" fontId="1" fillId="0" borderId="22" xfId="0" applyFont="1" applyFill="1" applyBorder="1" applyAlignment="1" applyProtection="1">
      <alignment horizontal="center"/>
      <protection hidden="1"/>
    </xf>
    <xf numFmtId="14" fontId="1" fillId="0" borderId="0" xfId="0" applyNumberFormat="1" applyFont="1" applyAlignment="1" applyProtection="1">
      <alignment horizontal="center"/>
      <protection hidden="1"/>
    </xf>
    <xf numFmtId="0" fontId="33" fillId="0" borderId="0" xfId="0" applyNumberFormat="1" applyFont="1" applyAlignment="1" applyProtection="1">
      <alignment horizontal="center"/>
      <protection hidden="1"/>
    </xf>
    <xf numFmtId="0" fontId="1" fillId="0" borderId="0" xfId="0" applyFont="1" applyAlignment="1" applyProtection="1">
      <alignment horizontal="right"/>
      <protection hidden="1"/>
    </xf>
    <xf numFmtId="49" fontId="1" fillId="0" borderId="0" xfId="0" applyNumberFormat="1" applyFont="1" applyAlignment="1" applyProtection="1">
      <alignment horizontal="center"/>
      <protection hidden="1"/>
    </xf>
    <xf numFmtId="0" fontId="0" fillId="50" borderId="0" xfId="0" applyFill="1" applyBorder="1" applyAlignment="1">
      <alignment horizontal="center"/>
    </xf>
    <xf numFmtId="2" fontId="1" fillId="36" borderId="0" xfId="0" applyNumberFormat="1" applyFont="1" applyFill="1" applyAlignment="1" applyProtection="1">
      <alignment horizontal="center"/>
      <protection hidden="1"/>
    </xf>
    <xf numFmtId="2" fontId="1" fillId="36" borderId="25" xfId="0" applyNumberFormat="1" applyFont="1" applyFill="1" applyBorder="1" applyAlignment="1" applyProtection="1">
      <alignment horizontal="center"/>
      <protection hidden="1"/>
    </xf>
    <xf numFmtId="10" fontId="1" fillId="36" borderId="0" xfId="48" applyNumberFormat="1" applyFont="1" applyFill="1" applyBorder="1" applyAlignment="1" applyProtection="1">
      <alignment horizontal="center"/>
      <protection hidden="1"/>
    </xf>
    <xf numFmtId="10" fontId="1" fillId="36" borderId="25" xfId="48" applyNumberFormat="1" applyFont="1" applyFill="1" applyBorder="1" applyAlignment="1" applyProtection="1">
      <alignment horizontal="center"/>
      <protection hidden="1"/>
    </xf>
    <xf numFmtId="0" fontId="8" fillId="0" borderId="0" xfId="0" applyFont="1" applyBorder="1" applyAlignment="1" applyProtection="1">
      <alignment horizontal="left"/>
      <protection hidden="1"/>
    </xf>
    <xf numFmtId="10" fontId="1" fillId="56" borderId="0" xfId="48" applyNumberFormat="1" applyFont="1" applyFill="1" applyBorder="1" applyAlignment="1" applyProtection="1">
      <alignment horizontal="center"/>
      <protection hidden="1"/>
    </xf>
    <xf numFmtId="10" fontId="1" fillId="56" borderId="25" xfId="48" applyNumberFormat="1" applyFont="1" applyFill="1" applyBorder="1" applyAlignment="1" applyProtection="1">
      <alignment horizontal="center"/>
      <protection hidden="1"/>
    </xf>
    <xf numFmtId="9" fontId="1" fillId="36" borderId="25" xfId="48" applyNumberFormat="1" applyFont="1" applyFill="1" applyBorder="1" applyAlignment="1" applyProtection="1">
      <alignment horizontal="center"/>
      <protection hidden="1"/>
    </xf>
    <xf numFmtId="173" fontId="1" fillId="36" borderId="0" xfId="0" applyNumberFormat="1" applyFont="1" applyFill="1" applyBorder="1" applyAlignment="1" applyProtection="1">
      <alignment horizontal="center"/>
      <protection hidden="1"/>
    </xf>
    <xf numFmtId="173" fontId="1" fillId="36" borderId="25" xfId="0" applyNumberFormat="1" applyFont="1" applyFill="1" applyBorder="1" applyAlignment="1" applyProtection="1">
      <alignment horizontal="center"/>
      <protection hidden="1"/>
    </xf>
    <xf numFmtId="10" fontId="1" fillId="46" borderId="0" xfId="48" applyNumberFormat="1" applyFont="1" applyFill="1" applyBorder="1" applyAlignment="1" applyProtection="1">
      <alignment horizontal="center"/>
      <protection hidden="1"/>
    </xf>
    <xf numFmtId="10" fontId="1" fillId="46" borderId="25" xfId="48" applyNumberFormat="1" applyFont="1" applyFill="1" applyBorder="1" applyAlignment="1" applyProtection="1">
      <alignment horizontal="center"/>
      <protection hidden="1"/>
    </xf>
    <xf numFmtId="1" fontId="56" fillId="47" borderId="25" xfId="0" applyNumberFormat="1" applyFont="1" applyFill="1" applyBorder="1" applyAlignment="1" applyProtection="1">
      <alignment horizontal="center"/>
      <protection hidden="1"/>
    </xf>
    <xf numFmtId="0" fontId="56" fillId="47" borderId="25" xfId="0" applyFont="1" applyFill="1" applyBorder="1" applyAlignment="1" applyProtection="1">
      <alignment horizontal="center"/>
      <protection hidden="1"/>
    </xf>
    <xf numFmtId="174" fontId="1" fillId="46" borderId="25" xfId="0" applyNumberFormat="1" applyFont="1" applyFill="1" applyBorder="1" applyAlignment="1" applyProtection="1">
      <alignment horizontal="center"/>
      <protection hidden="1"/>
    </xf>
    <xf numFmtId="9" fontId="1" fillId="0" borderId="24" xfId="48" applyNumberFormat="1" applyFont="1" applyFill="1" applyBorder="1" applyAlignment="1" applyProtection="1">
      <alignment horizontal="center"/>
      <protection hidden="1"/>
    </xf>
    <xf numFmtId="9" fontId="1" fillId="0" borderId="26" xfId="48" applyNumberFormat="1" applyFont="1" applyFill="1" applyBorder="1" applyAlignment="1" applyProtection="1">
      <alignment horizontal="center"/>
      <protection hidden="1"/>
    </xf>
    <xf numFmtId="10" fontId="1" fillId="36" borderId="24" xfId="48" applyNumberFormat="1" applyFont="1" applyFill="1" applyBorder="1" applyAlignment="1" applyProtection="1">
      <alignment horizontal="center"/>
      <protection hidden="1"/>
    </xf>
    <xf numFmtId="10" fontId="1" fillId="36" borderId="26" xfId="48" applyNumberFormat="1" applyFont="1" applyFill="1" applyBorder="1" applyAlignment="1" applyProtection="1">
      <alignment horizontal="center"/>
      <protection hidden="1"/>
    </xf>
    <xf numFmtId="185" fontId="1" fillId="0" borderId="24" xfId="0" applyNumberFormat="1" applyFont="1" applyFill="1" applyBorder="1" applyAlignment="1" applyProtection="1">
      <alignment horizontal="center"/>
      <protection hidden="1"/>
    </xf>
    <xf numFmtId="185" fontId="1" fillId="0" borderId="26" xfId="0" applyNumberFormat="1" applyFont="1" applyFill="1" applyBorder="1" applyAlignment="1" applyProtection="1">
      <alignment horizontal="center"/>
      <protection hidden="1"/>
    </xf>
    <xf numFmtId="10" fontId="1" fillId="34" borderId="24" xfId="48" applyNumberFormat="1" applyFont="1" applyFill="1" applyBorder="1" applyAlignment="1" applyProtection="1">
      <alignment horizontal="center"/>
      <protection hidden="1"/>
    </xf>
    <xf numFmtId="10" fontId="1" fillId="34" borderId="25" xfId="48" applyNumberFormat="1" applyFont="1" applyFill="1" applyBorder="1" applyAlignment="1" applyProtection="1">
      <alignment horizontal="center"/>
      <protection hidden="1"/>
    </xf>
    <xf numFmtId="10" fontId="1" fillId="34" borderId="26" xfId="48" applyNumberFormat="1" applyFont="1" applyFill="1" applyBorder="1" applyAlignment="1" applyProtection="1">
      <alignment horizontal="center"/>
      <protection hidden="1"/>
    </xf>
    <xf numFmtId="170" fontId="1" fillId="0" borderId="24" xfId="48" applyNumberFormat="1" applyFont="1" applyFill="1" applyBorder="1" applyAlignment="1" applyProtection="1">
      <alignment horizontal="center"/>
      <protection hidden="1"/>
    </xf>
    <xf numFmtId="170" fontId="1" fillId="0" borderId="26" xfId="48" applyNumberFormat="1" applyFont="1" applyFill="1" applyBorder="1" applyAlignment="1" applyProtection="1">
      <alignment horizontal="center"/>
      <protection hidden="1"/>
    </xf>
    <xf numFmtId="2" fontId="1" fillId="0" borderId="24" xfId="0" applyNumberFormat="1" applyFont="1" applyFill="1" applyBorder="1" applyAlignment="1" applyProtection="1">
      <alignment horizontal="center"/>
      <protection hidden="1"/>
    </xf>
    <xf numFmtId="2" fontId="1" fillId="0" borderId="25" xfId="0" applyNumberFormat="1" applyFont="1" applyFill="1" applyBorder="1" applyAlignment="1" applyProtection="1">
      <alignment horizontal="center"/>
      <protection hidden="1"/>
    </xf>
    <xf numFmtId="2" fontId="1" fillId="0" borderId="26" xfId="0" applyNumberFormat="1" applyFont="1" applyFill="1" applyBorder="1" applyAlignment="1" applyProtection="1">
      <alignment horizontal="center"/>
      <protection hidden="1"/>
    </xf>
    <xf numFmtId="0" fontId="1" fillId="46" borderId="25" xfId="0" applyFont="1" applyFill="1" applyBorder="1" applyAlignment="1" applyProtection="1">
      <alignment horizontal="center"/>
      <protection hidden="1"/>
    </xf>
    <xf numFmtId="9" fontId="1" fillId="56" borderId="0" xfId="48" applyNumberFormat="1" applyFont="1" applyFill="1" applyBorder="1" applyAlignment="1" applyProtection="1">
      <alignment horizontal="center"/>
      <protection hidden="1"/>
    </xf>
    <xf numFmtId="0" fontId="37" fillId="49" borderId="0" xfId="0" applyFont="1" applyFill="1" applyBorder="1" applyAlignment="1" applyProtection="1">
      <alignment horizontal="left"/>
      <protection hidden="1"/>
    </xf>
    <xf numFmtId="1" fontId="1" fillId="0" borderId="0" xfId="0" applyNumberFormat="1" applyFont="1" applyAlignment="1" applyProtection="1">
      <alignment horizontal="center"/>
      <protection hidden="1"/>
    </xf>
    <xf numFmtId="9" fontId="1" fillId="46" borderId="25" xfId="48" applyNumberFormat="1" applyFont="1" applyFill="1" applyBorder="1" applyAlignment="1" applyProtection="1">
      <alignment horizontal="center"/>
      <protection hidden="1"/>
    </xf>
    <xf numFmtId="2" fontId="1" fillId="46" borderId="25" xfId="0" applyNumberFormat="1" applyFont="1" applyFill="1" applyBorder="1" applyAlignment="1" applyProtection="1">
      <alignment horizontal="center"/>
      <protection hidden="1"/>
    </xf>
    <xf numFmtId="0" fontId="52" fillId="54" borderId="0" xfId="0" applyNumberFormat="1" applyFont="1" applyFill="1" applyAlignment="1" applyProtection="1">
      <alignment horizontal="center"/>
      <protection hidden="1"/>
    </xf>
    <xf numFmtId="1" fontId="1" fillId="0" borderId="0" xfId="0" applyNumberFormat="1" applyFont="1" applyAlignment="1" applyProtection="1">
      <alignment horizontal="left"/>
      <protection hidden="1"/>
    </xf>
    <xf numFmtId="0" fontId="4" fillId="44" borderId="0" xfId="0" applyFont="1" applyFill="1" applyAlignment="1" applyProtection="1">
      <alignment horizontal="center"/>
      <protection hidden="1"/>
    </xf>
    <xf numFmtId="0" fontId="6" fillId="35" borderId="11" xfId="0" applyNumberFormat="1" applyFont="1" applyFill="1" applyBorder="1" applyAlignment="1" applyProtection="1">
      <alignment horizontal="center"/>
      <protection hidden="1"/>
    </xf>
    <xf numFmtId="0" fontId="6" fillId="35" borderId="0" xfId="0" applyNumberFormat="1" applyFont="1" applyFill="1" applyBorder="1" applyAlignment="1" applyProtection="1">
      <alignment horizontal="center"/>
      <protection hidden="1"/>
    </xf>
    <xf numFmtId="0" fontId="6" fillId="35" borderId="12" xfId="0" applyNumberFormat="1" applyFont="1" applyFill="1" applyBorder="1" applyAlignment="1" applyProtection="1">
      <alignment horizontal="center"/>
      <protection hidden="1"/>
    </xf>
    <xf numFmtId="0" fontId="1" fillId="36" borderId="11" xfId="0" applyFont="1" applyFill="1" applyBorder="1" applyAlignment="1" applyProtection="1">
      <alignment horizontal="left"/>
      <protection hidden="1"/>
    </xf>
    <xf numFmtId="0" fontId="1" fillId="36" borderId="0" xfId="0" applyFont="1" applyFill="1" applyBorder="1" applyAlignment="1" applyProtection="1">
      <alignment horizontal="left"/>
      <protection hidden="1"/>
    </xf>
    <xf numFmtId="0" fontId="1" fillId="36" borderId="12" xfId="0" applyFont="1" applyFill="1" applyBorder="1" applyAlignment="1" applyProtection="1">
      <alignment horizontal="left"/>
      <protection hidden="1"/>
    </xf>
    <xf numFmtId="0" fontId="8" fillId="35" borderId="0" xfId="0" applyFont="1" applyFill="1" applyBorder="1" applyAlignment="1" applyProtection="1">
      <alignment horizontal="center"/>
      <protection hidden="1"/>
    </xf>
    <xf numFmtId="4" fontId="1" fillId="0" borderId="13" xfId="0" applyNumberFormat="1" applyFont="1" applyBorder="1" applyAlignment="1" applyProtection="1">
      <alignment horizontal="right" shrinkToFit="1"/>
      <protection hidden="1"/>
    </xf>
    <xf numFmtId="0" fontId="4" fillId="40" borderId="0" xfId="0" applyFont="1" applyFill="1" applyAlignment="1" applyProtection="1">
      <alignment horizontal="center"/>
      <protection hidden="1"/>
    </xf>
    <xf numFmtId="0" fontId="1" fillId="0" borderId="0" xfId="0" applyFont="1" applyAlignment="1" applyProtection="1">
      <alignment horizontal="center"/>
      <protection hidden="1"/>
    </xf>
    <xf numFmtId="0" fontId="4" fillId="0" borderId="0" xfId="0" applyFont="1" applyAlignment="1" applyProtection="1">
      <alignment horizontal="center"/>
      <protection hidden="1"/>
    </xf>
    <xf numFmtId="0" fontId="48" fillId="48" borderId="0" xfId="43" applyNumberFormat="1" applyFont="1" applyFill="1" applyBorder="1" applyAlignment="1" applyProtection="1">
      <alignment horizontal="center"/>
      <protection hidden="1"/>
    </xf>
    <xf numFmtId="0" fontId="59" fillId="48" borderId="0" xfId="43" applyNumberFormat="1" applyFont="1" applyFill="1" applyBorder="1" applyAlignment="1" applyProtection="1">
      <alignment horizontal="center"/>
      <protection hidden="1"/>
    </xf>
    <xf numFmtId="0" fontId="47" fillId="48" borderId="0" xfId="43" applyNumberFormat="1" applyFont="1" applyFill="1" applyBorder="1" applyAlignment="1" applyProtection="1">
      <alignment horizontal="justify" vertical="center" wrapText="1"/>
      <protection hidden="1"/>
    </xf>
    <xf numFmtId="0" fontId="23" fillId="48" borderId="0" xfId="43" applyNumberFormat="1" applyFont="1" applyFill="1" applyBorder="1" applyAlignment="1" applyProtection="1">
      <alignment horizontal="justify" vertical="top" wrapText="1"/>
      <protection hidden="1"/>
    </xf>
    <xf numFmtId="10" fontId="1" fillId="0" borderId="0" xfId="48" applyNumberFormat="1" applyFont="1" applyFill="1" applyAlignment="1" applyProtection="1">
      <alignment horizontal="center"/>
      <protection hidden="1"/>
    </xf>
    <xf numFmtId="10" fontId="1" fillId="0" borderId="0" xfId="48" applyNumberFormat="1" applyFont="1" applyFill="1" applyBorder="1" applyAlignment="1" applyProtection="1">
      <alignment horizontal="center"/>
      <protection hidden="1"/>
    </xf>
    <xf numFmtId="10" fontId="1" fillId="0" borderId="42" xfId="48" applyNumberFormat="1" applyFont="1" applyFill="1" applyBorder="1" applyAlignment="1" applyProtection="1">
      <alignment horizontal="center"/>
      <protection hidden="1"/>
    </xf>
    <xf numFmtId="0" fontId="1" fillId="46" borderId="0" xfId="0" applyFont="1" applyFill="1" applyBorder="1" applyAlignment="1" applyProtection="1">
      <alignment horizontal="center"/>
      <protection hidden="1"/>
    </xf>
    <xf numFmtId="9" fontId="1" fillId="40" borderId="0" xfId="48" applyNumberFormat="1" applyFont="1" applyFill="1" applyAlignment="1" applyProtection="1">
      <alignment horizontal="center"/>
      <protection hidden="1"/>
    </xf>
    <xf numFmtId="174" fontId="1" fillId="40" borderId="0" xfId="0" applyNumberFormat="1" applyFont="1" applyFill="1" applyBorder="1" applyAlignment="1" applyProtection="1">
      <alignment horizontal="center"/>
      <protection hidden="1"/>
    </xf>
    <xf numFmtId="1" fontId="1" fillId="40" borderId="0" xfId="0" applyNumberFormat="1" applyFont="1" applyFill="1" applyAlignment="1" applyProtection="1">
      <alignment horizontal="center"/>
      <protection hidden="1"/>
    </xf>
    <xf numFmtId="0" fontId="1" fillId="40" borderId="0" xfId="0" applyFont="1" applyFill="1" applyAlignment="1" applyProtection="1">
      <alignment horizontal="center"/>
      <protection hidden="1"/>
    </xf>
    <xf numFmtId="0" fontId="1" fillId="46" borderId="0" xfId="0" applyFont="1" applyFill="1" applyAlignment="1" applyProtection="1">
      <alignment horizontal="center"/>
      <protection hidden="1"/>
    </xf>
    <xf numFmtId="170" fontId="1" fillId="46" borderId="0" xfId="48" applyNumberFormat="1" applyFont="1" applyFill="1" applyAlignment="1" applyProtection="1">
      <alignment horizontal="center"/>
      <protection hidden="1"/>
    </xf>
    <xf numFmtId="10" fontId="1" fillId="46" borderId="0" xfId="48" applyNumberFormat="1" applyFont="1" applyFill="1" applyAlignment="1" applyProtection="1">
      <alignment horizontal="center"/>
      <protection hidden="1"/>
    </xf>
    <xf numFmtId="0" fontId="1" fillId="44" borderId="0" xfId="0" applyFont="1" applyFill="1" applyAlignment="1" applyProtection="1">
      <alignment horizontal="center"/>
      <protection hidden="1"/>
    </xf>
    <xf numFmtId="9" fontId="1" fillId="44" borderId="0" xfId="48" applyNumberFormat="1" applyFont="1" applyFill="1" applyAlignment="1" applyProtection="1">
      <alignment horizontal="center"/>
      <protection hidden="1"/>
    </xf>
    <xf numFmtId="170" fontId="1" fillId="44" borderId="0" xfId="48" applyNumberFormat="1" applyFont="1" applyFill="1" applyAlignment="1" applyProtection="1">
      <alignment horizontal="center"/>
      <protection hidden="1"/>
    </xf>
    <xf numFmtId="2" fontId="1" fillId="46" borderId="0" xfId="0" applyNumberFormat="1" applyFont="1" applyFill="1" applyBorder="1" applyAlignment="1" applyProtection="1">
      <alignment horizontal="center"/>
      <protection hidden="1"/>
    </xf>
    <xf numFmtId="2" fontId="1" fillId="56" borderId="0" xfId="0" applyNumberFormat="1" applyFont="1" applyFill="1" applyAlignment="1" applyProtection="1">
      <alignment horizontal="center"/>
      <protection hidden="1"/>
    </xf>
    <xf numFmtId="173" fontId="1" fillId="46" borderId="0" xfId="0" applyNumberFormat="1" applyFont="1" applyFill="1" applyBorder="1" applyAlignment="1" applyProtection="1">
      <alignment horizontal="center"/>
      <protection hidden="1"/>
    </xf>
    <xf numFmtId="2" fontId="1" fillId="46" borderId="0" xfId="0" applyNumberFormat="1" applyFont="1" applyFill="1" applyAlignment="1" applyProtection="1">
      <alignment horizontal="center"/>
      <protection hidden="1"/>
    </xf>
    <xf numFmtId="2" fontId="1" fillId="40" borderId="0" xfId="0" applyNumberFormat="1" applyFont="1" applyFill="1" applyAlignment="1" applyProtection="1">
      <alignment horizontal="center"/>
      <protection hidden="1"/>
    </xf>
    <xf numFmtId="0" fontId="1" fillId="36" borderId="25" xfId="0" applyNumberFormat="1" applyFont="1" applyFill="1" applyBorder="1" applyAlignment="1" applyProtection="1">
      <alignment horizontal="center"/>
      <protection hidden="1"/>
    </xf>
    <xf numFmtId="0" fontId="4" fillId="56" borderId="0" xfId="0" applyFont="1" applyFill="1" applyAlignment="1" applyProtection="1">
      <alignment horizontal="center"/>
      <protection hidden="1"/>
    </xf>
    <xf numFmtId="173" fontId="1" fillId="56" borderId="0" xfId="0" applyNumberFormat="1" applyFont="1" applyFill="1" applyAlignment="1" applyProtection="1">
      <alignment horizontal="center"/>
      <protection hidden="1"/>
    </xf>
    <xf numFmtId="10" fontId="1" fillId="56" borderId="0" xfId="48" applyNumberFormat="1" applyFont="1" applyFill="1" applyAlignment="1" applyProtection="1">
      <alignment horizontal="center"/>
      <protection hidden="1"/>
    </xf>
    <xf numFmtId="9" fontId="1" fillId="56" borderId="0" xfId="48" applyNumberFormat="1" applyFont="1" applyFill="1" applyAlignment="1" applyProtection="1">
      <alignment horizontal="center"/>
      <protection hidden="1"/>
    </xf>
    <xf numFmtId="10" fontId="1" fillId="56" borderId="24" xfId="48" applyNumberFormat="1" applyFont="1" applyFill="1" applyBorder="1" applyAlignment="1" applyProtection="1">
      <alignment horizontal="center"/>
      <protection hidden="1"/>
    </xf>
    <xf numFmtId="10" fontId="1" fillId="56" borderId="26" xfId="48" applyNumberFormat="1" applyFont="1" applyFill="1" applyBorder="1" applyAlignment="1" applyProtection="1">
      <alignment horizontal="center"/>
      <protection hidden="1"/>
    </xf>
    <xf numFmtId="0" fontId="1" fillId="36" borderId="0" xfId="0" applyNumberFormat="1" applyFont="1" applyFill="1" applyBorder="1" applyAlignment="1" applyProtection="1">
      <alignment horizontal="center"/>
      <protection hidden="1"/>
    </xf>
    <xf numFmtId="0" fontId="1" fillId="0" borderId="0" xfId="0" applyNumberFormat="1" applyFont="1" applyAlignment="1" applyProtection="1">
      <alignment horizontal="center"/>
      <protection hidden="1"/>
    </xf>
    <xf numFmtId="0" fontId="1" fillId="0" borderId="27" xfId="0" applyFont="1" applyBorder="1" applyAlignment="1" applyProtection="1">
      <alignment horizontal="center"/>
      <protection hidden="1"/>
    </xf>
    <xf numFmtId="0" fontId="1" fillId="0" borderId="29" xfId="0" applyFont="1" applyBorder="1" applyAlignment="1" applyProtection="1">
      <alignment horizontal="center"/>
      <protection hidden="1"/>
    </xf>
    <xf numFmtId="49" fontId="1" fillId="0" borderId="28" xfId="0" applyNumberFormat="1" applyFont="1" applyBorder="1" applyAlignment="1" applyProtection="1">
      <alignment horizontal="center"/>
      <protection hidden="1"/>
    </xf>
    <xf numFmtId="49" fontId="1" fillId="0" borderId="29" xfId="0" applyNumberFormat="1" applyFont="1" applyBorder="1" applyAlignment="1" applyProtection="1">
      <alignment horizontal="center"/>
      <protection hidden="1"/>
    </xf>
    <xf numFmtId="0" fontId="1" fillId="0" borderId="30" xfId="0" applyFont="1" applyBorder="1" applyAlignment="1" applyProtection="1">
      <alignment horizontal="center"/>
      <protection hidden="1"/>
    </xf>
    <xf numFmtId="49" fontId="1" fillId="0" borderId="27" xfId="0" applyNumberFormat="1" applyFont="1" applyBorder="1" applyAlignment="1" applyProtection="1">
      <alignment horizontal="center"/>
      <protection hidden="1"/>
    </xf>
    <xf numFmtId="0" fontId="1" fillId="45" borderId="0" xfId="0" applyNumberFormat="1" applyFont="1" applyFill="1" applyAlignment="1" applyProtection="1">
      <alignment horizontal="center"/>
      <protection hidden="1"/>
    </xf>
    <xf numFmtId="1" fontId="1" fillId="41" borderId="0" xfId="0" applyNumberFormat="1" applyFont="1" applyFill="1" applyAlignment="1" applyProtection="1">
      <alignment horizontal="center"/>
      <protection hidden="1"/>
    </xf>
    <xf numFmtId="1" fontId="1" fillId="41" borderId="0" xfId="0" applyNumberFormat="1" applyFont="1" applyFill="1" applyBorder="1" applyAlignment="1" applyProtection="1">
      <alignment horizontal="center"/>
      <protection hidden="1"/>
    </xf>
    <xf numFmtId="0" fontId="1" fillId="43" borderId="0" xfId="0" applyNumberFormat="1" applyFont="1" applyFill="1" applyAlignment="1" applyProtection="1">
      <alignment horizontal="center"/>
      <protection hidden="1"/>
    </xf>
    <xf numFmtId="0" fontId="39" fillId="34" borderId="43" xfId="0" applyFont="1" applyFill="1" applyBorder="1" applyAlignment="1" applyProtection="1">
      <alignment horizontal="right"/>
      <protection hidden="1"/>
    </xf>
    <xf numFmtId="0" fontId="1" fillId="43" borderId="0" xfId="0" applyNumberFormat="1" applyFont="1" applyFill="1" applyBorder="1" applyAlignment="1" applyProtection="1">
      <alignment horizontal="center"/>
      <protection hidden="1"/>
    </xf>
    <xf numFmtId="1" fontId="1" fillId="41" borderId="25" xfId="0" applyNumberFormat="1" applyFont="1" applyFill="1" applyBorder="1" applyAlignment="1" applyProtection="1">
      <alignment horizontal="center"/>
      <protection hidden="1"/>
    </xf>
    <xf numFmtId="1" fontId="52" fillId="54" borderId="0" xfId="0" applyNumberFormat="1" applyFont="1" applyFill="1" applyAlignment="1" applyProtection="1">
      <alignment horizontal="center"/>
      <protection hidden="1"/>
    </xf>
    <xf numFmtId="1" fontId="52" fillId="54" borderId="0" xfId="0" applyNumberFormat="1" applyFont="1" applyFill="1" applyBorder="1" applyAlignment="1" applyProtection="1">
      <alignment horizontal="center"/>
      <protection hidden="1"/>
    </xf>
    <xf numFmtId="0" fontId="1" fillId="43" borderId="25" xfId="0" applyNumberFormat="1" applyFont="1" applyFill="1" applyBorder="1" applyAlignment="1" applyProtection="1">
      <alignment horizontal="center"/>
      <protection hidden="1"/>
    </xf>
    <xf numFmtId="0" fontId="1" fillId="47" borderId="0" xfId="0" applyNumberFormat="1" applyFont="1" applyFill="1" applyAlignment="1" applyProtection="1">
      <alignment horizontal="center"/>
      <protection hidden="1"/>
    </xf>
    <xf numFmtId="0" fontId="1" fillId="47" borderId="25" xfId="0" applyNumberFormat="1" applyFont="1" applyFill="1" applyBorder="1" applyAlignment="1" applyProtection="1">
      <alignment horizontal="center"/>
      <protection hidden="1"/>
    </xf>
    <xf numFmtId="0" fontId="1" fillId="50" borderId="0" xfId="0" applyNumberFormat="1" applyFont="1" applyFill="1" applyAlignment="1" applyProtection="1">
      <alignment horizontal="center"/>
      <protection hidden="1"/>
    </xf>
    <xf numFmtId="0" fontId="1" fillId="45" borderId="25" xfId="0" applyNumberFormat="1" applyFont="1" applyFill="1" applyBorder="1" applyAlignment="1" applyProtection="1">
      <alignment horizontal="center"/>
      <protection hidden="1"/>
    </xf>
    <xf numFmtId="0" fontId="1" fillId="50" borderId="25" xfId="0" applyNumberFormat="1" applyFont="1" applyFill="1" applyBorder="1" applyAlignment="1" applyProtection="1">
      <alignment horizontal="center"/>
      <protection hidden="1"/>
    </xf>
    <xf numFmtId="14" fontId="1" fillId="0" borderId="0" xfId="0" applyNumberFormat="1" applyFont="1" applyFill="1" applyAlignment="1" applyProtection="1">
      <alignment horizontal="left"/>
      <protection hidden="1"/>
    </xf>
    <xf numFmtId="10" fontId="1" fillId="0" borderId="27" xfId="48" applyNumberFormat="1" applyFont="1" applyBorder="1" applyAlignment="1" applyProtection="1">
      <alignment horizontal="center"/>
      <protection hidden="1"/>
    </xf>
    <xf numFmtId="10" fontId="1" fillId="0" borderId="28" xfId="48" applyNumberFormat="1" applyFont="1" applyBorder="1" applyAlignment="1" applyProtection="1">
      <alignment horizontal="center"/>
      <protection hidden="1"/>
    </xf>
    <xf numFmtId="4" fontId="1" fillId="0" borderId="28" xfId="0" applyNumberFormat="1" applyFont="1" applyFill="1" applyBorder="1" applyAlignment="1" applyProtection="1">
      <alignment horizontal="center"/>
      <protection hidden="1"/>
    </xf>
    <xf numFmtId="0" fontId="1" fillId="41" borderId="0" xfId="0" applyNumberFormat="1" applyFont="1" applyFill="1" applyAlignment="1" applyProtection="1">
      <alignment horizontal="center"/>
      <protection hidden="1"/>
    </xf>
    <xf numFmtId="14" fontId="8" fillId="0" borderId="0" xfId="0" applyNumberFormat="1" applyFont="1" applyAlignment="1" applyProtection="1">
      <alignment horizontal="center"/>
      <protection hidden="1"/>
    </xf>
    <xf numFmtId="171" fontId="1" fillId="41" borderId="0" xfId="0" applyNumberFormat="1" applyFont="1" applyFill="1" applyAlignment="1" applyProtection="1">
      <alignment horizontal="right"/>
      <protection hidden="1"/>
    </xf>
    <xf numFmtId="0" fontId="1" fillId="41" borderId="0" xfId="0" applyNumberFormat="1" applyFont="1" applyFill="1" applyBorder="1" applyAlignment="1" applyProtection="1">
      <alignment horizontal="center"/>
      <protection hidden="1"/>
    </xf>
    <xf numFmtId="171" fontId="1" fillId="0" borderId="28" xfId="0" applyNumberFormat="1" applyFont="1" applyFill="1" applyBorder="1" applyAlignment="1" applyProtection="1">
      <alignment horizontal="right"/>
      <protection hidden="1"/>
    </xf>
    <xf numFmtId="171" fontId="1" fillId="0" borderId="29" xfId="0" applyNumberFormat="1" applyFont="1" applyFill="1" applyBorder="1" applyAlignment="1" applyProtection="1">
      <alignment horizontal="right"/>
      <protection hidden="1"/>
    </xf>
    <xf numFmtId="0" fontId="1" fillId="41" borderId="25" xfId="0" applyNumberFormat="1" applyFont="1" applyFill="1" applyBorder="1" applyAlignment="1" applyProtection="1">
      <alignment horizontal="center"/>
      <protection hidden="1"/>
    </xf>
    <xf numFmtId="4" fontId="1" fillId="0" borderId="25" xfId="0" applyNumberFormat="1" applyFont="1" applyFill="1" applyBorder="1" applyAlignment="1" applyProtection="1">
      <alignment horizontal="center"/>
      <protection hidden="1"/>
    </xf>
    <xf numFmtId="170" fontId="1" fillId="0" borderId="24" xfId="48" applyNumberFormat="1" applyFont="1" applyBorder="1" applyAlignment="1" applyProtection="1">
      <alignment horizontal="center"/>
      <protection hidden="1"/>
    </xf>
    <xf numFmtId="170" fontId="1" fillId="0" borderId="25" xfId="48" applyNumberFormat="1" applyFont="1" applyBorder="1" applyAlignment="1" applyProtection="1">
      <alignment horizontal="center"/>
      <protection hidden="1"/>
    </xf>
    <xf numFmtId="171" fontId="1" fillId="0" borderId="25" xfId="0" applyNumberFormat="1" applyFont="1" applyFill="1" applyBorder="1" applyAlignment="1" applyProtection="1">
      <alignment horizontal="right"/>
      <protection hidden="1"/>
    </xf>
    <xf numFmtId="171" fontId="1" fillId="0" borderId="26" xfId="0" applyNumberFormat="1" applyFont="1" applyFill="1" applyBorder="1" applyAlignment="1" applyProtection="1">
      <alignment horizontal="right"/>
      <protection hidden="1"/>
    </xf>
    <xf numFmtId="14" fontId="32" fillId="0" borderId="0" xfId="0" applyNumberFormat="1" applyFont="1" applyAlignment="1" applyProtection="1">
      <alignment horizontal="center"/>
      <protection hidden="1"/>
    </xf>
    <xf numFmtId="4" fontId="1" fillId="0" borderId="0" xfId="0" applyNumberFormat="1" applyFont="1" applyFill="1" applyAlignment="1" applyProtection="1">
      <alignment horizontal="center"/>
      <protection hidden="1"/>
    </xf>
    <xf numFmtId="171" fontId="1" fillId="0" borderId="0" xfId="0" applyNumberFormat="1" applyFont="1" applyFill="1" applyAlignment="1" applyProtection="1">
      <alignment horizontal="right"/>
      <protection hidden="1"/>
    </xf>
    <xf numFmtId="4" fontId="1" fillId="0" borderId="19" xfId="0" applyNumberFormat="1" applyFont="1" applyFill="1" applyBorder="1" applyAlignment="1" applyProtection="1">
      <alignment horizontal="center"/>
      <protection hidden="1"/>
    </xf>
    <xf numFmtId="171" fontId="1" fillId="0" borderId="19" xfId="0" applyNumberFormat="1" applyFont="1" applyFill="1" applyBorder="1" applyAlignment="1" applyProtection="1">
      <alignment horizontal="right"/>
      <protection hidden="1"/>
    </xf>
    <xf numFmtId="171" fontId="1" fillId="0" borderId="20" xfId="0" applyNumberFormat="1" applyFont="1" applyFill="1" applyBorder="1" applyAlignment="1" applyProtection="1">
      <alignment horizontal="right"/>
      <protection hidden="1"/>
    </xf>
    <xf numFmtId="9" fontId="1" fillId="56" borderId="25" xfId="48" applyNumberFormat="1" applyFont="1" applyFill="1" applyBorder="1" applyAlignment="1" applyProtection="1">
      <alignment horizontal="center"/>
      <protection hidden="1"/>
    </xf>
    <xf numFmtId="173" fontId="1" fillId="56" borderId="25" xfId="0" applyNumberFormat="1" applyFont="1" applyFill="1" applyBorder="1" applyAlignment="1" applyProtection="1">
      <alignment horizontal="center"/>
      <protection hidden="1"/>
    </xf>
    <xf numFmtId="2" fontId="1" fillId="56" borderId="25" xfId="0" applyNumberFormat="1" applyFont="1" applyFill="1" applyBorder="1" applyAlignment="1" applyProtection="1">
      <alignment horizontal="center"/>
      <protection hidden="1"/>
    </xf>
    <xf numFmtId="0" fontId="4" fillId="34" borderId="0" xfId="0" applyFont="1" applyFill="1" applyAlignment="1" applyProtection="1">
      <alignment horizontal="center"/>
      <protection hidden="1"/>
    </xf>
    <xf numFmtId="10" fontId="1" fillId="40" borderId="0" xfId="48" applyNumberFormat="1" applyFont="1" applyFill="1" applyAlignment="1" applyProtection="1">
      <alignment horizontal="center"/>
      <protection hidden="1"/>
    </xf>
    <xf numFmtId="1" fontId="1" fillId="34" borderId="0" xfId="0" applyNumberFormat="1" applyFont="1" applyFill="1" applyAlignment="1" applyProtection="1">
      <alignment horizontal="center"/>
      <protection hidden="1"/>
    </xf>
    <xf numFmtId="0" fontId="1" fillId="34" borderId="0" xfId="0" applyFont="1" applyFill="1" applyAlignment="1" applyProtection="1">
      <alignment horizontal="center"/>
      <protection hidden="1"/>
    </xf>
    <xf numFmtId="2" fontId="1" fillId="34" borderId="0" xfId="0" applyNumberFormat="1" applyFont="1" applyFill="1" applyAlignment="1" applyProtection="1">
      <alignment horizontal="center"/>
      <protection hidden="1"/>
    </xf>
    <xf numFmtId="10" fontId="1" fillId="34" borderId="0" xfId="48" applyNumberFormat="1" applyFont="1" applyFill="1" applyAlignment="1" applyProtection="1">
      <alignment horizontal="center"/>
      <protection hidden="1"/>
    </xf>
    <xf numFmtId="173" fontId="1" fillId="56" borderId="0" xfId="0" applyNumberFormat="1" applyFont="1" applyFill="1" applyBorder="1" applyAlignment="1" applyProtection="1">
      <alignment horizontal="center"/>
      <protection hidden="1"/>
    </xf>
    <xf numFmtId="2" fontId="1" fillId="0" borderId="27" xfId="48" applyNumberFormat="1" applyFont="1" applyBorder="1" applyAlignment="1" applyProtection="1">
      <alignment horizontal="center"/>
      <protection hidden="1"/>
    </xf>
    <xf numFmtId="2" fontId="1" fillId="0" borderId="28" xfId="48" applyNumberFormat="1" applyFont="1" applyBorder="1" applyAlignment="1" applyProtection="1">
      <alignment horizontal="center"/>
      <protection hidden="1"/>
    </xf>
    <xf numFmtId="2" fontId="1" fillId="0" borderId="29" xfId="48" applyNumberFormat="1" applyFont="1" applyBorder="1" applyAlignment="1" applyProtection="1">
      <alignment horizontal="center"/>
      <protection hidden="1"/>
    </xf>
    <xf numFmtId="0" fontId="37" fillId="49" borderId="0" xfId="0" applyFont="1" applyFill="1" applyAlignment="1" applyProtection="1">
      <alignment horizontal="left"/>
      <protection hidden="1"/>
    </xf>
    <xf numFmtId="0" fontId="37" fillId="49" borderId="42" xfId="0" applyFont="1" applyFill="1" applyBorder="1" applyAlignment="1" applyProtection="1">
      <alignment horizontal="left"/>
      <protection hidden="1"/>
    </xf>
    <xf numFmtId="4" fontId="1" fillId="0" borderId="14" xfId="0" applyNumberFormat="1" applyFont="1" applyBorder="1" applyAlignment="1" applyProtection="1">
      <alignment horizontal="right" shrinkToFit="1"/>
      <protection hidden="1"/>
    </xf>
    <xf numFmtId="0" fontId="1" fillId="0" borderId="14" xfId="0" applyFont="1" applyBorder="1" applyAlignment="1" applyProtection="1">
      <alignment horizontal="center"/>
      <protection hidden="1"/>
    </xf>
    <xf numFmtId="0" fontId="6" fillId="35" borderId="44" xfId="0" applyNumberFormat="1" applyFont="1" applyFill="1" applyBorder="1" applyAlignment="1" applyProtection="1">
      <alignment horizontal="center"/>
      <protection hidden="1"/>
    </xf>
    <xf numFmtId="0" fontId="6" fillId="35" borderId="14" xfId="0" applyNumberFormat="1" applyFont="1" applyFill="1" applyBorder="1" applyAlignment="1" applyProtection="1">
      <alignment horizontal="center"/>
      <protection hidden="1"/>
    </xf>
    <xf numFmtId="0" fontId="6" fillId="35" borderId="45" xfId="0" applyNumberFormat="1" applyFont="1" applyFill="1" applyBorder="1" applyAlignment="1" applyProtection="1">
      <alignment horizontal="center"/>
      <protection hidden="1"/>
    </xf>
    <xf numFmtId="0" fontId="8" fillId="35" borderId="14" xfId="0" applyFont="1" applyFill="1" applyBorder="1" applyAlignment="1" applyProtection="1">
      <alignment horizontal="center"/>
      <protection hidden="1"/>
    </xf>
    <xf numFmtId="0" fontId="18" fillId="36" borderId="16" xfId="0" applyFont="1" applyFill="1" applyBorder="1" applyAlignment="1" applyProtection="1">
      <alignment horizontal="left"/>
      <protection hidden="1"/>
    </xf>
    <xf numFmtId="4" fontId="18" fillId="0" borderId="16" xfId="0" applyNumberFormat="1" applyFont="1" applyBorder="1" applyAlignment="1" applyProtection="1">
      <alignment horizontal="right" shrinkToFit="1"/>
      <protection hidden="1"/>
    </xf>
    <xf numFmtId="0" fontId="17" fillId="0" borderId="14" xfId="0" applyFont="1" applyBorder="1" applyAlignment="1" applyProtection="1">
      <alignment horizontal="center"/>
      <protection hidden="1"/>
    </xf>
    <xf numFmtId="4" fontId="1" fillId="0" borderId="0" xfId="0" applyNumberFormat="1" applyFont="1" applyAlignment="1" applyProtection="1">
      <alignment horizontal="center"/>
      <protection hidden="1"/>
    </xf>
    <xf numFmtId="0" fontId="1" fillId="0" borderId="0" xfId="0" applyFont="1" applyAlignment="1" applyProtection="1">
      <alignment horizontal="left"/>
      <protection hidden="1"/>
    </xf>
    <xf numFmtId="10" fontId="1" fillId="44" borderId="0" xfId="48" applyNumberFormat="1" applyFont="1" applyFill="1" applyAlignment="1" applyProtection="1">
      <alignment horizontal="center"/>
      <protection hidden="1"/>
    </xf>
    <xf numFmtId="0" fontId="4" fillId="33" borderId="23" xfId="0" applyFont="1" applyFill="1" applyBorder="1" applyAlignment="1" applyProtection="1">
      <alignment horizontal="center"/>
      <protection hidden="1"/>
    </xf>
    <xf numFmtId="4" fontId="1" fillId="33" borderId="23" xfId="0" applyNumberFormat="1" applyFont="1" applyFill="1" applyBorder="1" applyAlignment="1" applyProtection="1">
      <alignment horizontal="right" shrinkToFit="1"/>
      <protection hidden="1"/>
    </xf>
    <xf numFmtId="171" fontId="19" fillId="33" borderId="0" xfId="0" applyNumberFormat="1" applyFont="1" applyFill="1" applyBorder="1" applyAlignment="1" applyProtection="1">
      <alignment horizontal="right" shrinkToFit="1"/>
      <protection hidden="1"/>
    </xf>
    <xf numFmtId="0" fontId="8" fillId="0" borderId="0" xfId="0" applyFont="1" applyFill="1" applyAlignment="1" applyProtection="1">
      <alignment horizontal="center"/>
      <protection hidden="1"/>
    </xf>
    <xf numFmtId="4" fontId="43" fillId="33" borderId="0" xfId="0" applyNumberFormat="1" applyFont="1" applyFill="1" applyBorder="1" applyAlignment="1" applyProtection="1">
      <alignment horizontal="center"/>
      <protection hidden="1"/>
    </xf>
    <xf numFmtId="170" fontId="1" fillId="46" borderId="0" xfId="48" applyNumberFormat="1" applyFont="1" applyFill="1" applyBorder="1" applyAlignment="1" applyProtection="1">
      <alignment horizontal="center"/>
      <protection hidden="1"/>
    </xf>
    <xf numFmtId="9" fontId="1" fillId="40" borderId="0" xfId="48" applyNumberFormat="1" applyFont="1" applyFill="1" applyBorder="1" applyAlignment="1" applyProtection="1">
      <alignment horizontal="center"/>
      <protection hidden="1"/>
    </xf>
    <xf numFmtId="9" fontId="1" fillId="36" borderId="0" xfId="48" applyNumberFormat="1" applyFont="1" applyFill="1" applyBorder="1" applyAlignment="1" applyProtection="1">
      <alignment horizontal="center"/>
      <protection hidden="1"/>
    </xf>
    <xf numFmtId="9" fontId="1" fillId="34" borderId="0" xfId="48" applyNumberFormat="1" applyFont="1" applyFill="1" applyAlignment="1" applyProtection="1">
      <alignment horizontal="center"/>
      <protection hidden="1"/>
    </xf>
    <xf numFmtId="174" fontId="1" fillId="40" borderId="0" xfId="0" applyNumberFormat="1" applyFont="1" applyFill="1" applyAlignment="1" applyProtection="1">
      <alignment horizontal="center"/>
      <protection hidden="1"/>
    </xf>
    <xf numFmtId="9" fontId="1" fillId="46" borderId="0" xfId="48" applyNumberFormat="1" applyFont="1" applyFill="1" applyBorder="1" applyAlignment="1" applyProtection="1">
      <alignment horizontal="center"/>
      <protection hidden="1"/>
    </xf>
    <xf numFmtId="174" fontId="1" fillId="46" borderId="0" xfId="0" applyNumberFormat="1" applyFont="1" applyFill="1" applyBorder="1" applyAlignment="1" applyProtection="1">
      <alignment horizontal="center"/>
      <protection hidden="1"/>
    </xf>
    <xf numFmtId="171" fontId="1" fillId="41" borderId="27" xfId="0" applyNumberFormat="1" applyFont="1" applyFill="1" applyBorder="1" applyAlignment="1" applyProtection="1">
      <alignment horizontal="center"/>
      <protection hidden="1"/>
    </xf>
    <xf numFmtId="171" fontId="1" fillId="41" borderId="28" xfId="0" applyNumberFormat="1" applyFont="1" applyFill="1" applyBorder="1" applyAlignment="1" applyProtection="1">
      <alignment horizontal="center"/>
      <protection hidden="1"/>
    </xf>
    <xf numFmtId="171" fontId="1" fillId="41" borderId="29" xfId="0" applyNumberFormat="1" applyFont="1" applyFill="1" applyBorder="1" applyAlignment="1" applyProtection="1">
      <alignment horizontal="center"/>
      <protection hidden="1"/>
    </xf>
    <xf numFmtId="10" fontId="1" fillId="40" borderId="0" xfId="48" applyNumberFormat="1" applyFont="1" applyFill="1" applyBorder="1" applyAlignment="1" applyProtection="1">
      <alignment horizontal="center"/>
      <protection hidden="1"/>
    </xf>
    <xf numFmtId="2" fontId="1" fillId="40" borderId="0" xfId="0" applyNumberFormat="1" applyFont="1" applyFill="1" applyBorder="1" applyAlignment="1" applyProtection="1">
      <alignment horizontal="center"/>
      <protection hidden="1"/>
    </xf>
    <xf numFmtId="1" fontId="56" fillId="47" borderId="0" xfId="0" applyNumberFormat="1" applyFont="1" applyFill="1" applyBorder="1" applyAlignment="1" applyProtection="1">
      <alignment horizontal="center"/>
      <protection hidden="1"/>
    </xf>
    <xf numFmtId="0" fontId="56" fillId="47" borderId="0" xfId="0" applyFont="1" applyFill="1" applyBorder="1" applyAlignment="1" applyProtection="1">
      <alignment horizontal="center"/>
      <protection hidden="1"/>
    </xf>
    <xf numFmtId="2" fontId="1" fillId="36" borderId="0" xfId="0" applyNumberFormat="1" applyFont="1" applyFill="1" applyBorder="1" applyAlignment="1" applyProtection="1">
      <alignment horizontal="center"/>
      <protection hidden="1"/>
    </xf>
    <xf numFmtId="173" fontId="1" fillId="34" borderId="0" xfId="0" applyNumberFormat="1" applyFont="1" applyFill="1" applyAlignment="1" applyProtection="1">
      <alignment horizontal="center"/>
      <protection hidden="1"/>
    </xf>
    <xf numFmtId="2" fontId="1" fillId="34" borderId="0" xfId="0" applyNumberFormat="1" applyFont="1" applyFill="1" applyBorder="1" applyAlignment="1" applyProtection="1">
      <alignment horizontal="center"/>
      <protection hidden="1"/>
    </xf>
    <xf numFmtId="10" fontId="1" fillId="34" borderId="0" xfId="48" applyNumberFormat="1" applyFont="1" applyFill="1" applyBorder="1" applyAlignment="1" applyProtection="1">
      <alignment horizontal="center"/>
      <protection hidden="1"/>
    </xf>
    <xf numFmtId="173" fontId="1" fillId="34" borderId="0" xfId="0" applyNumberFormat="1" applyFont="1" applyFill="1" applyBorder="1" applyAlignment="1" applyProtection="1">
      <alignment horizontal="center"/>
      <protection hidden="1"/>
    </xf>
    <xf numFmtId="9" fontId="1" fillId="34" borderId="0" xfId="48" applyNumberFormat="1" applyFont="1" applyFill="1" applyBorder="1" applyAlignment="1" applyProtection="1">
      <alignment horizontal="center"/>
      <protection hidden="1"/>
    </xf>
    <xf numFmtId="174" fontId="1" fillId="34" borderId="0" xfId="0" applyNumberFormat="1" applyFont="1" applyFill="1" applyBorder="1" applyAlignment="1" applyProtection="1">
      <alignment horizontal="center"/>
      <protection hidden="1"/>
    </xf>
    <xf numFmtId="10" fontId="1" fillId="44" borderId="24" xfId="48" applyNumberFormat="1" applyFont="1" applyFill="1" applyBorder="1" applyAlignment="1" applyProtection="1">
      <alignment horizontal="center"/>
      <protection hidden="1"/>
    </xf>
    <xf numFmtId="10" fontId="1" fillId="44" borderId="25" xfId="48" applyNumberFormat="1" applyFont="1" applyFill="1" applyBorder="1" applyAlignment="1" applyProtection="1">
      <alignment horizontal="center"/>
      <protection hidden="1"/>
    </xf>
    <xf numFmtId="10" fontId="1" fillId="44" borderId="26" xfId="48" applyNumberFormat="1" applyFont="1" applyFill="1" applyBorder="1" applyAlignment="1" applyProtection="1">
      <alignment horizontal="center"/>
      <protection hidden="1"/>
    </xf>
    <xf numFmtId="0" fontId="8" fillId="0" borderId="21" xfId="0" applyFont="1" applyBorder="1" applyAlignment="1" applyProtection="1">
      <alignment horizontal="left"/>
      <protection hidden="1"/>
    </xf>
    <xf numFmtId="0" fontId="8" fillId="0" borderId="0" xfId="0" applyFont="1" applyAlignment="1" applyProtection="1">
      <alignment horizontal="left"/>
      <protection hidden="1"/>
    </xf>
    <xf numFmtId="10" fontId="1" fillId="40" borderId="24" xfId="48" applyNumberFormat="1" applyFont="1" applyFill="1" applyBorder="1" applyAlignment="1" applyProtection="1">
      <alignment horizontal="center"/>
      <protection hidden="1"/>
    </xf>
    <xf numFmtId="10" fontId="1" fillId="40" borderId="25" xfId="48" applyNumberFormat="1" applyFont="1" applyFill="1" applyBorder="1" applyAlignment="1" applyProtection="1">
      <alignment horizontal="center"/>
      <protection hidden="1"/>
    </xf>
    <xf numFmtId="10" fontId="1" fillId="40" borderId="26" xfId="48" applyNumberFormat="1" applyFont="1" applyFill="1" applyBorder="1" applyAlignment="1" applyProtection="1">
      <alignment horizontal="center"/>
      <protection hidden="1"/>
    </xf>
    <xf numFmtId="0" fontId="52" fillId="54" borderId="0" xfId="0" applyNumberFormat="1" applyFont="1" applyFill="1" applyBorder="1" applyAlignment="1" applyProtection="1">
      <alignment horizontal="center"/>
      <protection hidden="1"/>
    </xf>
    <xf numFmtId="0" fontId="34" fillId="56" borderId="0" xfId="0" applyFont="1" applyFill="1" applyAlignment="1" applyProtection="1">
      <alignment horizontal="center"/>
      <protection hidden="1"/>
    </xf>
    <xf numFmtId="0" fontId="1" fillId="56" borderId="0" xfId="0" applyFont="1" applyFill="1" applyAlignment="1" applyProtection="1">
      <alignment horizontal="center"/>
      <protection hidden="1"/>
    </xf>
    <xf numFmtId="0" fontId="4" fillId="36" borderId="0" xfId="0" applyFont="1" applyFill="1" applyAlignment="1" applyProtection="1">
      <alignment horizontal="center"/>
      <protection hidden="1"/>
    </xf>
    <xf numFmtId="0" fontId="1" fillId="36" borderId="0" xfId="0" applyFont="1" applyFill="1" applyAlignment="1" applyProtection="1">
      <alignment horizontal="center"/>
      <protection hidden="1"/>
    </xf>
    <xf numFmtId="173" fontId="1" fillId="36" borderId="0" xfId="0" applyNumberFormat="1" applyFont="1" applyFill="1" applyAlignment="1" applyProtection="1">
      <alignment horizontal="center"/>
      <protection hidden="1"/>
    </xf>
    <xf numFmtId="9" fontId="1" fillId="36" borderId="0" xfId="48" applyNumberFormat="1" applyFont="1" applyFill="1" applyAlignment="1" applyProtection="1">
      <alignment horizontal="center"/>
      <protection hidden="1"/>
    </xf>
    <xf numFmtId="0" fontId="34" fillId="40" borderId="0" xfId="0" applyFont="1" applyFill="1" applyAlignment="1" applyProtection="1">
      <alignment horizontal="center"/>
      <protection hidden="1"/>
    </xf>
    <xf numFmtId="173" fontId="1" fillId="40" borderId="0" xfId="0" applyNumberFormat="1" applyFont="1" applyFill="1" applyAlignment="1" applyProtection="1">
      <alignment horizontal="center"/>
      <protection hidden="1"/>
    </xf>
    <xf numFmtId="4" fontId="7" fillId="33" borderId="46" xfId="0" applyNumberFormat="1" applyFont="1" applyFill="1" applyBorder="1" applyAlignment="1" applyProtection="1">
      <alignment horizontal="center" shrinkToFit="1"/>
      <protection locked="0"/>
    </xf>
    <xf numFmtId="4" fontId="7" fillId="33" borderId="47" xfId="0" applyNumberFormat="1" applyFont="1" applyFill="1" applyBorder="1" applyAlignment="1" applyProtection="1">
      <alignment horizontal="center" shrinkToFit="1"/>
      <protection locked="0"/>
    </xf>
    <xf numFmtId="4" fontId="7" fillId="33" borderId="48" xfId="0" applyNumberFormat="1" applyFont="1" applyFill="1" applyBorder="1" applyAlignment="1" applyProtection="1">
      <alignment horizontal="center" shrinkToFit="1"/>
      <protection locked="0"/>
    </xf>
    <xf numFmtId="0" fontId="69" fillId="34" borderId="0" xfId="43" applyFont="1" applyFill="1" applyAlignment="1" applyProtection="1">
      <alignment horizontal="center" vertical="top"/>
      <protection hidden="1"/>
    </xf>
    <xf numFmtId="0" fontId="6" fillId="33" borderId="46" xfId="0" applyFont="1" applyFill="1" applyBorder="1" applyAlignment="1" applyProtection="1">
      <alignment horizontal="center"/>
      <protection locked="0"/>
    </xf>
    <xf numFmtId="0" fontId="6" fillId="33" borderId="47" xfId="0" applyFont="1" applyFill="1" applyBorder="1" applyAlignment="1" applyProtection="1">
      <alignment horizontal="center"/>
      <protection locked="0"/>
    </xf>
    <xf numFmtId="0" fontId="6" fillId="33" borderId="48" xfId="0" applyFont="1" applyFill="1" applyBorder="1" applyAlignment="1" applyProtection="1">
      <alignment horizontal="center"/>
      <protection locked="0"/>
    </xf>
    <xf numFmtId="0" fontId="1" fillId="34" borderId="0" xfId="0" applyFont="1" applyFill="1" applyBorder="1" applyAlignment="1" applyProtection="1">
      <alignment horizontal="center"/>
      <protection hidden="1"/>
    </xf>
    <xf numFmtId="0" fontId="1" fillId="34" borderId="10" xfId="0" applyFont="1" applyFill="1" applyBorder="1" applyAlignment="1" applyProtection="1">
      <alignment horizontal="left"/>
      <protection hidden="1"/>
    </xf>
    <xf numFmtId="0" fontId="7" fillId="33" borderId="46" xfId="0" applyFont="1" applyFill="1" applyBorder="1" applyAlignment="1" applyProtection="1">
      <alignment horizontal="left" shrinkToFit="1"/>
      <protection hidden="1" locked="0"/>
    </xf>
    <xf numFmtId="0" fontId="7" fillId="33" borderId="47" xfId="0" applyFont="1" applyFill="1" applyBorder="1" applyAlignment="1" applyProtection="1">
      <alignment horizontal="left" shrinkToFit="1"/>
      <protection hidden="1" locked="0"/>
    </xf>
    <xf numFmtId="0" fontId="7" fillId="33" borderId="48" xfId="0" applyFont="1" applyFill="1" applyBorder="1" applyAlignment="1" applyProtection="1">
      <alignment horizontal="left" shrinkToFit="1"/>
      <protection hidden="1" locked="0"/>
    </xf>
    <xf numFmtId="0" fontId="9" fillId="35" borderId="46" xfId="0" applyFont="1" applyFill="1" applyBorder="1" applyAlignment="1" applyProtection="1">
      <alignment horizontal="center"/>
      <protection hidden="1"/>
    </xf>
    <xf numFmtId="0" fontId="9" fillId="35" borderId="47" xfId="0" applyFont="1" applyFill="1" applyBorder="1" applyAlignment="1" applyProtection="1">
      <alignment horizontal="center"/>
      <protection hidden="1"/>
    </xf>
    <xf numFmtId="0" fontId="9" fillId="35" borderId="48" xfId="0" applyFont="1" applyFill="1" applyBorder="1" applyAlignment="1" applyProtection="1">
      <alignment horizontal="center"/>
      <protection hidden="1"/>
    </xf>
    <xf numFmtId="14" fontId="7" fillId="33" borderId="49" xfId="0" applyNumberFormat="1" applyFont="1" applyFill="1" applyBorder="1" applyAlignment="1" applyProtection="1">
      <alignment horizontal="center" shrinkToFit="1"/>
      <protection locked="0"/>
    </xf>
    <xf numFmtId="14" fontId="7" fillId="33" borderId="50" xfId="0" applyNumberFormat="1" applyFont="1" applyFill="1" applyBorder="1" applyAlignment="1" applyProtection="1">
      <alignment horizontal="center" shrinkToFit="1"/>
      <protection locked="0"/>
    </xf>
    <xf numFmtId="14" fontId="8" fillId="34" borderId="10" xfId="0" applyNumberFormat="1" applyFont="1" applyFill="1" applyBorder="1" applyAlignment="1" applyProtection="1">
      <alignment horizontal="left"/>
      <protection hidden="1"/>
    </xf>
    <xf numFmtId="14" fontId="8" fillId="34" borderId="10" xfId="0" applyNumberFormat="1" applyFont="1" applyFill="1" applyBorder="1" applyAlignment="1" applyProtection="1">
      <alignment horizontal="right"/>
      <protection hidden="1"/>
    </xf>
    <xf numFmtId="14" fontId="7" fillId="33" borderId="51" xfId="0" applyNumberFormat="1" applyFont="1" applyFill="1" applyBorder="1" applyAlignment="1" applyProtection="1">
      <alignment horizontal="center" shrinkToFit="1"/>
      <protection hidden="1" locked="0"/>
    </xf>
    <xf numFmtId="14" fontId="7" fillId="33" borderId="49" xfId="0" applyNumberFormat="1" applyFont="1" applyFill="1" applyBorder="1" applyAlignment="1" applyProtection="1">
      <alignment horizontal="center" shrinkToFit="1"/>
      <protection hidden="1" locked="0"/>
    </xf>
    <xf numFmtId="14" fontId="7" fillId="33" borderId="50" xfId="0" applyNumberFormat="1" applyFont="1" applyFill="1" applyBorder="1" applyAlignment="1" applyProtection="1">
      <alignment horizontal="center" shrinkToFit="1"/>
      <protection hidden="1" locked="0"/>
    </xf>
    <xf numFmtId="1" fontId="11" fillId="39" borderId="52" xfId="0" applyNumberFormat="1" applyFont="1" applyFill="1" applyBorder="1" applyAlignment="1" applyProtection="1">
      <alignment horizontal="center"/>
      <protection hidden="1"/>
    </xf>
    <xf numFmtId="1" fontId="11" fillId="39" borderId="53" xfId="0" applyNumberFormat="1" applyFont="1" applyFill="1" applyBorder="1" applyAlignment="1" applyProtection="1">
      <alignment horizontal="center"/>
      <protection hidden="1"/>
    </xf>
    <xf numFmtId="1" fontId="11" fillId="39" borderId="54" xfId="0" applyNumberFormat="1" applyFont="1" applyFill="1" applyBorder="1" applyAlignment="1" applyProtection="1">
      <alignment horizontal="center"/>
      <protection hidden="1"/>
    </xf>
    <xf numFmtId="0" fontId="10" fillId="34" borderId="43" xfId="0" applyFont="1" applyFill="1" applyBorder="1" applyAlignment="1" applyProtection="1">
      <alignment horizontal="left"/>
      <protection hidden="1"/>
    </xf>
    <xf numFmtId="0" fontId="9" fillId="35" borderId="55" xfId="0" applyFont="1" applyFill="1" applyBorder="1" applyAlignment="1" applyProtection="1">
      <alignment horizontal="center"/>
      <protection hidden="1"/>
    </xf>
    <xf numFmtId="0" fontId="9" fillId="35" borderId="56" xfId="0" applyFont="1" applyFill="1" applyBorder="1" applyAlignment="1" applyProtection="1">
      <alignment horizontal="center"/>
      <protection hidden="1"/>
    </xf>
    <xf numFmtId="0" fontId="9" fillId="35" borderId="57" xfId="0" applyFont="1" applyFill="1" applyBorder="1" applyAlignment="1" applyProtection="1">
      <alignment horizontal="center"/>
      <protection hidden="1"/>
    </xf>
    <xf numFmtId="4" fontId="11" fillId="39" borderId="58" xfId="0" applyNumberFormat="1" applyFont="1" applyFill="1" applyBorder="1" applyAlignment="1" applyProtection="1">
      <alignment horizontal="center" shrinkToFit="1"/>
      <protection hidden="1"/>
    </xf>
    <xf numFmtId="4" fontId="11" fillId="39" borderId="59" xfId="0" applyNumberFormat="1" applyFont="1" applyFill="1" applyBorder="1" applyAlignment="1" applyProtection="1">
      <alignment horizontal="center" shrinkToFit="1"/>
      <protection hidden="1"/>
    </xf>
    <xf numFmtId="4" fontId="11" fillId="39" borderId="60" xfId="0" applyNumberFormat="1" applyFont="1" applyFill="1" applyBorder="1" applyAlignment="1" applyProtection="1">
      <alignment horizontal="center" shrinkToFit="1"/>
      <protection hidden="1"/>
    </xf>
    <xf numFmtId="0" fontId="7" fillId="35" borderId="11" xfId="0" applyFont="1" applyFill="1" applyBorder="1" applyAlignment="1" applyProtection="1">
      <alignment horizontal="center"/>
      <protection hidden="1"/>
    </xf>
    <xf numFmtId="0" fontId="7" fillId="35" borderId="0" xfId="0" applyFont="1" applyFill="1" applyBorder="1" applyAlignment="1" applyProtection="1">
      <alignment horizontal="center"/>
      <protection hidden="1"/>
    </xf>
    <xf numFmtId="0" fontId="7" fillId="35" borderId="12" xfId="0" applyFont="1" applyFill="1" applyBorder="1" applyAlignment="1" applyProtection="1">
      <alignment horizontal="center"/>
      <protection hidden="1"/>
    </xf>
    <xf numFmtId="0" fontId="26" fillId="35" borderId="11" xfId="0" applyFont="1" applyFill="1" applyBorder="1" applyAlignment="1" applyProtection="1">
      <alignment horizontal="left" vertical="top"/>
      <protection hidden="1"/>
    </xf>
    <xf numFmtId="0" fontId="26" fillId="35" borderId="0" xfId="0" applyFont="1" applyFill="1" applyBorder="1" applyAlignment="1" applyProtection="1">
      <alignment horizontal="left" vertical="top"/>
      <protection hidden="1"/>
    </xf>
    <xf numFmtId="0" fontId="13" fillId="36" borderId="61" xfId="0" applyFont="1" applyFill="1" applyBorder="1" applyAlignment="1" applyProtection="1">
      <alignment horizontal="center" vertical="center"/>
      <protection hidden="1"/>
    </xf>
    <xf numFmtId="0" fontId="13" fillId="36" borderId="0" xfId="0" applyFont="1" applyFill="1" applyBorder="1" applyAlignment="1" applyProtection="1">
      <alignment horizontal="center" vertical="center"/>
      <protection hidden="1"/>
    </xf>
    <xf numFmtId="0" fontId="12" fillId="36" borderId="62" xfId="0" applyFont="1" applyFill="1" applyBorder="1" applyAlignment="1" applyProtection="1">
      <alignment horizontal="left" vertical="center" shrinkToFit="1"/>
      <protection hidden="1"/>
    </xf>
    <xf numFmtId="0" fontId="12" fillId="36" borderId="61" xfId="0" applyFont="1" applyFill="1" applyBorder="1" applyAlignment="1" applyProtection="1">
      <alignment horizontal="left" vertical="center" shrinkToFit="1"/>
      <protection hidden="1"/>
    </xf>
    <xf numFmtId="0" fontId="12" fillId="36" borderId="11" xfId="0" applyFont="1" applyFill="1" applyBorder="1" applyAlignment="1" applyProtection="1">
      <alignment horizontal="left" vertical="center" shrinkToFit="1"/>
      <protection hidden="1"/>
    </xf>
    <xf numFmtId="0" fontId="12" fillId="36" borderId="0" xfId="0" applyFont="1" applyFill="1" applyBorder="1" applyAlignment="1" applyProtection="1">
      <alignment horizontal="left" vertical="center" shrinkToFit="1"/>
      <protection hidden="1"/>
    </xf>
    <xf numFmtId="14" fontId="14" fillId="36" borderId="61" xfId="0" applyNumberFormat="1" applyFont="1" applyFill="1" applyBorder="1" applyAlignment="1" applyProtection="1">
      <alignment horizontal="center" vertical="top"/>
      <protection hidden="1"/>
    </xf>
    <xf numFmtId="14" fontId="14" fillId="36" borderId="63" xfId="0" applyNumberFormat="1" applyFont="1" applyFill="1" applyBorder="1" applyAlignment="1" applyProtection="1">
      <alignment horizontal="center" vertical="top"/>
      <protection hidden="1"/>
    </xf>
    <xf numFmtId="0" fontId="40" fillId="34" borderId="0" xfId="0" applyFont="1" applyFill="1" applyBorder="1" applyAlignment="1" applyProtection="1">
      <alignment horizontal="left" vertical="center" wrapText="1"/>
      <protection hidden="1"/>
    </xf>
    <xf numFmtId="14" fontId="6" fillId="35" borderId="0" xfId="0" applyNumberFormat="1" applyFont="1" applyFill="1" applyBorder="1" applyAlignment="1" applyProtection="1">
      <alignment horizontal="right"/>
      <protection hidden="1"/>
    </xf>
    <xf numFmtId="4" fontId="7" fillId="35" borderId="0" xfId="0" applyNumberFormat="1" applyFont="1" applyFill="1" applyBorder="1" applyAlignment="1" applyProtection="1">
      <alignment horizontal="center"/>
      <protection hidden="1"/>
    </xf>
    <xf numFmtId="0" fontId="16" fillId="35" borderId="0" xfId="0" applyNumberFormat="1" applyFont="1" applyFill="1" applyBorder="1" applyAlignment="1" applyProtection="1">
      <alignment horizontal="center"/>
      <protection hidden="1"/>
    </xf>
    <xf numFmtId="0" fontId="16" fillId="35" borderId="12" xfId="0" applyNumberFormat="1" applyFont="1" applyFill="1" applyBorder="1" applyAlignment="1" applyProtection="1">
      <alignment horizontal="center"/>
      <protection hidden="1"/>
    </xf>
    <xf numFmtId="186" fontId="15" fillId="36" borderId="0" xfId="0" applyNumberFormat="1" applyFont="1" applyFill="1" applyBorder="1" applyAlignment="1" applyProtection="1">
      <alignment horizontal="center" vertical="center"/>
      <protection hidden="1"/>
    </xf>
    <xf numFmtId="186" fontId="15" fillId="36" borderId="12" xfId="0" applyNumberFormat="1" applyFont="1" applyFill="1" applyBorder="1" applyAlignment="1" applyProtection="1">
      <alignment horizontal="center" vertical="center"/>
      <protection hidden="1"/>
    </xf>
    <xf numFmtId="0" fontId="16" fillId="35" borderId="11" xfId="0" applyNumberFormat="1" applyFont="1" applyFill="1" applyBorder="1" applyAlignment="1" applyProtection="1">
      <alignment horizontal="center"/>
      <protection hidden="1"/>
    </xf>
    <xf numFmtId="0" fontId="14" fillId="36" borderId="61" xfId="0" applyFont="1" applyFill="1" applyBorder="1" applyAlignment="1" applyProtection="1">
      <alignment horizontal="right" vertical="top"/>
      <protection hidden="1"/>
    </xf>
    <xf numFmtId="4" fontId="17" fillId="0" borderId="14" xfId="0" applyNumberFormat="1" applyFont="1" applyBorder="1" applyAlignment="1" applyProtection="1">
      <alignment horizontal="right"/>
      <protection hidden="1"/>
    </xf>
    <xf numFmtId="14" fontId="7" fillId="35" borderId="0" xfId="0" applyNumberFormat="1" applyFont="1" applyFill="1" applyBorder="1" applyAlignment="1" applyProtection="1">
      <alignment horizontal="center"/>
      <protection hidden="1"/>
    </xf>
    <xf numFmtId="0" fontId="25" fillId="35" borderId="0" xfId="0" applyNumberFormat="1" applyFont="1" applyFill="1" applyBorder="1" applyAlignment="1" applyProtection="1">
      <alignment horizontal="right"/>
      <protection hidden="1"/>
    </xf>
    <xf numFmtId="0" fontId="25" fillId="35" borderId="12" xfId="0" applyNumberFormat="1" applyFont="1" applyFill="1" applyBorder="1" applyAlignment="1" applyProtection="1">
      <alignment horizontal="right"/>
      <protection hidden="1"/>
    </xf>
    <xf numFmtId="0" fontId="1" fillId="0" borderId="13" xfId="0" applyFont="1" applyBorder="1" applyAlignment="1" applyProtection="1">
      <alignment horizontal="center"/>
      <protection hidden="1"/>
    </xf>
    <xf numFmtId="14" fontId="19" fillId="33" borderId="0" xfId="0" applyNumberFormat="1" applyFont="1" applyFill="1" applyBorder="1" applyAlignment="1" applyProtection="1">
      <alignment horizontal="center" shrinkToFit="1"/>
      <protection hidden="1"/>
    </xf>
    <xf numFmtId="185" fontId="4" fillId="0" borderId="23" xfId="0" applyNumberFormat="1" applyFont="1" applyFill="1" applyBorder="1" applyAlignment="1" applyProtection="1">
      <alignment horizontal="right"/>
      <protection hidden="1"/>
    </xf>
    <xf numFmtId="170" fontId="4" fillId="0" borderId="23" xfId="48" applyNumberFormat="1" applyFont="1" applyFill="1" applyBorder="1" applyAlignment="1" applyProtection="1">
      <alignment horizontal="center" shrinkToFit="1"/>
      <protection hidden="1"/>
    </xf>
    <xf numFmtId="4" fontId="4" fillId="33" borderId="23" xfId="0" applyNumberFormat="1" applyFont="1" applyFill="1" applyBorder="1" applyAlignment="1" applyProtection="1">
      <alignment horizontal="right" shrinkToFit="1"/>
      <protection hidden="1"/>
    </xf>
    <xf numFmtId="10" fontId="19" fillId="33" borderId="0" xfId="48" applyNumberFormat="1" applyFont="1" applyFill="1" applyBorder="1" applyAlignment="1" applyProtection="1">
      <alignment horizontal="right"/>
      <protection hidden="1"/>
    </xf>
    <xf numFmtId="1" fontId="19" fillId="33" borderId="0" xfId="0" applyNumberFormat="1" applyFont="1" applyFill="1" applyBorder="1" applyAlignment="1" applyProtection="1">
      <alignment horizontal="right"/>
      <protection hidden="1"/>
    </xf>
    <xf numFmtId="0" fontId="19" fillId="33" borderId="0" xfId="0" applyFont="1" applyFill="1" applyBorder="1" applyAlignment="1" applyProtection="1">
      <alignment horizontal="right"/>
      <protection hidden="1"/>
    </xf>
    <xf numFmtId="4" fontId="43" fillId="33" borderId="25" xfId="0" applyNumberFormat="1" applyFont="1" applyFill="1" applyBorder="1" applyAlignment="1" applyProtection="1">
      <alignment horizontal="center"/>
      <protection hidden="1"/>
    </xf>
    <xf numFmtId="1" fontId="1" fillId="0" borderId="25" xfId="0" applyNumberFormat="1" applyFont="1" applyBorder="1" applyAlignment="1" applyProtection="1">
      <alignment horizontal="center"/>
      <protection hidden="1"/>
    </xf>
    <xf numFmtId="1" fontId="1" fillId="0" borderId="0" xfId="0" applyNumberFormat="1" applyFont="1" applyBorder="1" applyAlignment="1" applyProtection="1">
      <alignment horizontal="center"/>
      <protection hidden="1"/>
    </xf>
    <xf numFmtId="14" fontId="1" fillId="44" borderId="0" xfId="0" applyNumberFormat="1" applyFont="1" applyFill="1" applyAlignment="1" applyProtection="1">
      <alignment horizontal="left"/>
      <protection hidden="1"/>
    </xf>
    <xf numFmtId="10" fontId="1" fillId="0" borderId="29" xfId="48" applyNumberFormat="1" applyFont="1" applyBorder="1" applyAlignment="1" applyProtection="1">
      <alignment horizontal="center"/>
      <protection hidden="1"/>
    </xf>
    <xf numFmtId="4" fontId="1" fillId="0" borderId="27" xfId="0" applyNumberFormat="1" applyFont="1" applyFill="1" applyBorder="1" applyAlignment="1" applyProtection="1">
      <alignment horizontal="center"/>
      <protection hidden="1"/>
    </xf>
    <xf numFmtId="4" fontId="1" fillId="0" borderId="29" xfId="0" applyNumberFormat="1" applyFont="1" applyFill="1" applyBorder="1" applyAlignment="1" applyProtection="1">
      <alignment horizontal="center"/>
      <protection hidden="1"/>
    </xf>
    <xf numFmtId="185" fontId="1" fillId="0" borderId="27" xfId="0" applyNumberFormat="1" applyFont="1" applyFill="1" applyBorder="1" applyAlignment="1" applyProtection="1">
      <alignment horizontal="center"/>
      <protection hidden="1"/>
    </xf>
    <xf numFmtId="185" fontId="1" fillId="0" borderId="28" xfId="0" applyNumberFormat="1" applyFont="1" applyFill="1" applyBorder="1" applyAlignment="1" applyProtection="1">
      <alignment horizontal="center"/>
      <protection hidden="1"/>
    </xf>
    <xf numFmtId="185" fontId="1" fillId="0" borderId="29" xfId="0" applyNumberFormat="1" applyFont="1" applyFill="1" applyBorder="1" applyAlignment="1" applyProtection="1">
      <alignment horizontal="center"/>
      <protection hidden="1"/>
    </xf>
    <xf numFmtId="14" fontId="36" fillId="46" borderId="19" xfId="0" applyNumberFormat="1" applyFont="1" applyFill="1" applyBorder="1" applyAlignment="1" applyProtection="1">
      <alignment horizontal="center"/>
      <protection hidden="1"/>
    </xf>
    <xf numFmtId="0" fontId="36" fillId="46" borderId="19" xfId="0" applyNumberFormat="1" applyFont="1" applyFill="1" applyBorder="1" applyAlignment="1" applyProtection="1">
      <alignment horizontal="center"/>
      <protection hidden="1"/>
    </xf>
    <xf numFmtId="0" fontId="52" fillId="54" borderId="25" xfId="0" applyNumberFormat="1" applyFont="1" applyFill="1" applyBorder="1" applyAlignment="1" applyProtection="1">
      <alignment horizontal="center"/>
      <protection hidden="1"/>
    </xf>
    <xf numFmtId="0" fontId="0" fillId="43" borderId="0" xfId="0" applyFill="1" applyBorder="1" applyAlignment="1">
      <alignment horizontal="center"/>
    </xf>
    <xf numFmtId="0" fontId="1" fillId="0" borderId="0" xfId="0" applyFont="1" applyAlignment="1">
      <alignment horizontal="center"/>
    </xf>
    <xf numFmtId="0" fontId="0" fillId="45" borderId="19" xfId="0" applyFill="1" applyBorder="1" applyAlignment="1">
      <alignment horizontal="center"/>
    </xf>
    <xf numFmtId="0" fontId="0" fillId="47" borderId="0" xfId="0" applyFill="1" applyBorder="1" applyAlignment="1">
      <alignment horizontal="center"/>
    </xf>
    <xf numFmtId="0" fontId="1" fillId="42" borderId="21" xfId="0" applyFont="1" applyFill="1" applyBorder="1" applyAlignment="1" applyProtection="1">
      <alignment horizontal="center"/>
      <protection hidden="1"/>
    </xf>
    <xf numFmtId="0" fontId="1" fillId="42" borderId="22" xfId="0" applyFont="1" applyFill="1" applyBorder="1" applyAlignment="1" applyProtection="1">
      <alignment horizontal="center"/>
      <protection hidden="1"/>
    </xf>
    <xf numFmtId="0" fontId="42" fillId="33" borderId="18" xfId="0" applyFont="1" applyFill="1" applyBorder="1" applyAlignment="1" applyProtection="1">
      <alignment horizontal="left" vertical="center" wrapText="1"/>
      <protection hidden="1"/>
    </xf>
    <xf numFmtId="0" fontId="42" fillId="33" borderId="19" xfId="0" applyFont="1" applyFill="1" applyBorder="1" applyAlignment="1" applyProtection="1">
      <alignment horizontal="left" vertical="center" wrapText="1"/>
      <protection hidden="1"/>
    </xf>
    <xf numFmtId="0" fontId="42" fillId="33" borderId="20" xfId="0" applyFont="1" applyFill="1" applyBorder="1" applyAlignment="1" applyProtection="1">
      <alignment horizontal="left" vertical="center" wrapText="1"/>
      <protection hidden="1"/>
    </xf>
    <xf numFmtId="0" fontId="42" fillId="33" borderId="24" xfId="0" applyFont="1" applyFill="1" applyBorder="1" applyAlignment="1" applyProtection="1">
      <alignment horizontal="left" vertical="center" wrapText="1"/>
      <protection hidden="1"/>
    </xf>
    <xf numFmtId="0" fontId="42" fillId="33" borderId="25" xfId="0" applyFont="1" applyFill="1" applyBorder="1" applyAlignment="1" applyProtection="1">
      <alignment horizontal="left" vertical="center" wrapText="1"/>
      <protection hidden="1"/>
    </xf>
    <xf numFmtId="0" fontId="42" fillId="33" borderId="26" xfId="0" applyFont="1" applyFill="1" applyBorder="1" applyAlignment="1" applyProtection="1">
      <alignment horizontal="left" vertical="center" wrapText="1"/>
      <protection hidden="1"/>
    </xf>
    <xf numFmtId="0" fontId="43" fillId="33" borderId="0" xfId="0" applyFont="1" applyFill="1" applyBorder="1" applyAlignment="1" applyProtection="1">
      <alignment horizontal="left" shrinkToFit="1"/>
      <protection hidden="1"/>
    </xf>
    <xf numFmtId="0" fontId="8" fillId="0" borderId="30" xfId="0" applyFont="1" applyBorder="1" applyAlignment="1" applyProtection="1">
      <alignment horizontal="center"/>
      <protection hidden="1"/>
    </xf>
    <xf numFmtId="170" fontId="1" fillId="0" borderId="18" xfId="48" applyNumberFormat="1" applyFont="1" applyBorder="1" applyAlignment="1" applyProtection="1">
      <alignment horizontal="center"/>
      <protection hidden="1"/>
    </xf>
    <xf numFmtId="170" fontId="1" fillId="0" borderId="19" xfId="48" applyNumberFormat="1" applyFont="1" applyBorder="1" applyAlignment="1" applyProtection="1">
      <alignment horizontal="center"/>
      <protection hidden="1"/>
    </xf>
    <xf numFmtId="170" fontId="1" fillId="0" borderId="0" xfId="48" applyNumberFormat="1" applyFont="1" applyAlignment="1" applyProtection="1">
      <alignment horizontal="center"/>
      <protection hidden="1"/>
    </xf>
    <xf numFmtId="10" fontId="1" fillId="36" borderId="0" xfId="48" applyNumberFormat="1" applyFont="1" applyFill="1" applyAlignment="1" applyProtection="1">
      <alignment horizontal="center"/>
      <protection hidden="1"/>
    </xf>
    <xf numFmtId="2" fontId="1" fillId="56" borderId="0" xfId="0" applyNumberFormat="1" applyFont="1" applyFill="1" applyBorder="1" applyAlignment="1" applyProtection="1">
      <alignment horizontal="center"/>
      <protection hidden="1"/>
    </xf>
    <xf numFmtId="14" fontId="36" fillId="46" borderId="19" xfId="0" applyNumberFormat="1" applyFont="1" applyFill="1" applyBorder="1" applyAlignment="1" applyProtection="1">
      <alignment horizontal="center" shrinkToFit="1"/>
      <protection hidden="1"/>
    </xf>
    <xf numFmtId="0" fontId="36" fillId="46" borderId="19" xfId="0" applyNumberFormat="1" applyFont="1" applyFill="1" applyBorder="1" applyAlignment="1" applyProtection="1">
      <alignment horizontal="center" shrinkToFit="1"/>
      <protection hidden="1"/>
    </xf>
    <xf numFmtId="49" fontId="52" fillId="54" borderId="0" xfId="0" applyNumberFormat="1" applyFont="1" applyFill="1" applyAlignment="1" applyProtection="1">
      <alignment horizontal="center"/>
      <protection hidden="1"/>
    </xf>
    <xf numFmtId="1" fontId="52" fillId="54" borderId="25" xfId="0" applyNumberFormat="1" applyFont="1" applyFill="1" applyBorder="1" applyAlignment="1" applyProtection="1">
      <alignment horizontal="center"/>
      <protection hidden="1"/>
    </xf>
    <xf numFmtId="14" fontId="1" fillId="0" borderId="0" xfId="0" applyNumberFormat="1" applyFont="1" applyFill="1" applyBorder="1" applyAlignment="1" applyProtection="1">
      <alignment horizontal="left"/>
      <protection hidden="1"/>
    </xf>
    <xf numFmtId="14" fontId="1" fillId="45" borderId="0" xfId="0" applyNumberFormat="1" applyFont="1" applyFill="1" applyAlignment="1" applyProtection="1">
      <alignment horizontal="left"/>
      <protection hidden="1"/>
    </xf>
    <xf numFmtId="1" fontId="1" fillId="41" borderId="0" xfId="0" applyNumberFormat="1" applyFont="1" applyFill="1" applyAlignment="1" applyProtection="1">
      <alignment horizontal="right"/>
      <protection hidden="1"/>
    </xf>
    <xf numFmtId="0" fontId="1" fillId="41" borderId="0" xfId="0" applyFont="1" applyFill="1" applyAlignment="1" applyProtection="1">
      <alignment horizontal="right"/>
      <protection hidden="1"/>
    </xf>
    <xf numFmtId="10" fontId="43" fillId="33" borderId="25" xfId="0" applyNumberFormat="1" applyFont="1" applyFill="1" applyBorder="1" applyAlignment="1" applyProtection="1">
      <alignment horizontal="center"/>
      <protection hidden="1"/>
    </xf>
    <xf numFmtId="0" fontId="43" fillId="33" borderId="25" xfId="0" applyFont="1" applyFill="1" applyBorder="1" applyAlignment="1" applyProtection="1">
      <alignment horizontal="center"/>
      <protection hidden="1"/>
    </xf>
    <xf numFmtId="0" fontId="34" fillId="36" borderId="0" xfId="0" applyFont="1" applyFill="1" applyAlignment="1" applyProtection="1">
      <alignment horizontal="center"/>
      <protection hidden="1"/>
    </xf>
    <xf numFmtId="10" fontId="43" fillId="33" borderId="0" xfId="0" applyNumberFormat="1" applyFont="1" applyFill="1" applyBorder="1" applyAlignment="1" applyProtection="1">
      <alignment horizontal="center"/>
      <protection hidden="1"/>
    </xf>
    <xf numFmtId="0" fontId="43" fillId="33" borderId="0" xfId="0" applyFont="1" applyFill="1" applyBorder="1" applyAlignment="1" applyProtection="1">
      <alignment horizontal="center"/>
      <protection hidden="1"/>
    </xf>
    <xf numFmtId="0" fontId="62" fillId="48" borderId="0" xfId="43" applyNumberFormat="1" applyFont="1" applyFill="1" applyBorder="1" applyAlignment="1" applyProtection="1">
      <alignment horizontal="center"/>
      <protection hidden="1" locked="0"/>
    </xf>
    <xf numFmtId="3" fontId="1" fillId="33" borderId="23" xfId="0" applyNumberFormat="1" applyFont="1" applyFill="1" applyBorder="1" applyAlignment="1" applyProtection="1">
      <alignment horizontal="right" shrinkToFit="1"/>
      <protection hidden="1"/>
    </xf>
    <xf numFmtId="4" fontId="27" fillId="36" borderId="16" xfId="0" applyNumberFormat="1" applyFont="1" applyFill="1" applyBorder="1" applyAlignment="1" applyProtection="1">
      <alignment horizontal="right" shrinkToFit="1"/>
      <protection hidden="1"/>
    </xf>
    <xf numFmtId="0" fontId="38" fillId="33" borderId="0" xfId="0" applyFont="1" applyFill="1" applyBorder="1" applyAlignment="1" applyProtection="1">
      <alignment horizontal="left" shrinkToFit="1"/>
      <protection hidden="1"/>
    </xf>
    <xf numFmtId="0" fontId="38" fillId="33" borderId="22" xfId="0" applyFont="1" applyFill="1" applyBorder="1" applyAlignment="1" applyProtection="1">
      <alignment horizontal="left" shrinkToFit="1"/>
      <protection hidden="1"/>
    </xf>
    <xf numFmtId="14" fontId="4" fillId="33" borderId="23" xfId="0" applyNumberFormat="1" applyFont="1" applyFill="1" applyBorder="1" applyAlignment="1" applyProtection="1">
      <alignment horizontal="center"/>
      <protection hidden="1"/>
    </xf>
    <xf numFmtId="0" fontId="4" fillId="33" borderId="23" xfId="0" applyFont="1" applyFill="1" applyBorder="1" applyAlignment="1" applyProtection="1">
      <alignment horizontal="left"/>
      <protection hidden="1"/>
    </xf>
    <xf numFmtId="0" fontId="58" fillId="48" borderId="35" xfId="43" applyNumberFormat="1" applyFont="1" applyFill="1" applyBorder="1" applyAlignment="1" applyProtection="1">
      <alignment horizontal="right"/>
      <protection hidden="1"/>
    </xf>
    <xf numFmtId="0" fontId="66" fillId="34" borderId="0" xfId="0" applyFont="1" applyFill="1" applyBorder="1" applyAlignment="1" applyProtection="1">
      <alignment horizontal="left" vertical="center" wrapText="1"/>
      <protection hidden="1"/>
    </xf>
    <xf numFmtId="0" fontId="61" fillId="48" borderId="0" xfId="43" applyNumberFormat="1" applyFont="1" applyFill="1" applyBorder="1" applyAlignment="1" applyProtection="1">
      <alignment horizontal="right" vertical="center"/>
      <protection hidden="1"/>
    </xf>
    <xf numFmtId="1" fontId="1" fillId="0" borderId="14" xfId="0" applyNumberFormat="1" applyFont="1" applyBorder="1" applyAlignment="1" applyProtection="1">
      <alignment horizontal="center"/>
      <protection hidden="1"/>
    </xf>
    <xf numFmtId="4" fontId="17" fillId="0" borderId="13" xfId="0" applyNumberFormat="1" applyFont="1" applyBorder="1" applyAlignment="1" applyProtection="1">
      <alignment horizontal="right"/>
      <protection hidden="1"/>
    </xf>
    <xf numFmtId="49" fontId="64" fillId="0" borderId="0" xfId="0" applyNumberFormat="1" applyFont="1" applyAlignment="1" applyProtection="1">
      <alignment horizontal="center" textRotation="90"/>
      <protection hidden="1"/>
    </xf>
    <xf numFmtId="49" fontId="64" fillId="0" borderId="25" xfId="0" applyNumberFormat="1" applyFont="1" applyBorder="1" applyAlignment="1" applyProtection="1">
      <alignment horizontal="center" textRotation="90"/>
      <protection hidden="1"/>
    </xf>
    <xf numFmtId="0" fontId="1" fillId="34" borderId="0" xfId="0" applyFont="1" applyFill="1" applyBorder="1" applyAlignment="1" applyProtection="1">
      <alignment horizontal="left" vertical="center"/>
      <protection hidden="1"/>
    </xf>
    <xf numFmtId="0" fontId="5" fillId="34" borderId="0" xfId="0" applyFont="1" applyFill="1" applyBorder="1" applyAlignment="1" applyProtection="1">
      <alignment horizontal="left" vertical="center"/>
      <protection hidden="1"/>
    </xf>
    <xf numFmtId="0" fontId="58" fillId="48" borderId="0" xfId="43" applyNumberFormat="1" applyFont="1" applyFill="1" applyBorder="1" applyAlignment="1" applyProtection="1">
      <alignment horizontal="center"/>
      <protection hidden="1"/>
    </xf>
    <xf numFmtId="0" fontId="34" fillId="34" borderId="0" xfId="0" applyFont="1" applyFill="1" applyAlignment="1" applyProtection="1">
      <alignment horizontal="center"/>
      <protection hidden="1"/>
    </xf>
    <xf numFmtId="0" fontId="60" fillId="48" borderId="0" xfId="43" applyNumberFormat="1" applyFont="1" applyFill="1" applyBorder="1" applyAlignment="1" applyProtection="1">
      <alignment horizontal="justify" vertical="top" wrapText="1"/>
      <protection hidden="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99">
    <dxf>
      <font>
        <color indexed="23"/>
      </font>
      <fill>
        <patternFill patternType="lightGray">
          <fgColor indexed="55"/>
        </patternFill>
      </fill>
    </dxf>
    <dxf>
      <font>
        <color indexed="10"/>
      </font>
    </dxf>
    <dxf>
      <font>
        <b/>
        <i val="0"/>
        <color indexed="10"/>
      </font>
    </dxf>
    <dxf>
      <font>
        <b val="0"/>
        <i val="0"/>
        <u val="none"/>
        <color indexed="23"/>
      </font>
      <fill>
        <patternFill patternType="lightGray">
          <fgColor indexed="55"/>
        </patternFill>
      </fill>
    </dxf>
    <dxf>
      <font>
        <color indexed="44"/>
      </font>
    </dxf>
    <dxf>
      <font>
        <color indexed="11"/>
      </font>
    </dxf>
    <dxf>
      <font>
        <color indexed="52"/>
      </font>
    </dxf>
    <dxf>
      <font>
        <color indexed="16"/>
      </font>
      <fill>
        <patternFill>
          <bgColor indexed="51"/>
        </patternFill>
      </fill>
    </dxf>
    <dxf>
      <font>
        <b val="0"/>
        <i val="0"/>
        <color indexed="18"/>
      </font>
      <fill>
        <patternFill>
          <bgColor indexed="10"/>
        </patternFill>
      </fill>
    </dxf>
    <dxf>
      <font>
        <color indexed="23"/>
      </font>
      <fill>
        <patternFill>
          <bgColor indexed="22"/>
        </patternFill>
      </fill>
      <border>
        <left style="thin">
          <color indexed="23"/>
        </left>
        <right style="thin">
          <color indexed="23"/>
        </right>
        <top style="thin">
          <color indexed="23"/>
        </top>
        <bottom style="thin">
          <color indexed="23"/>
        </bottom>
      </border>
    </dxf>
    <dxf>
      <font>
        <color indexed="16"/>
      </font>
      <fill>
        <patternFill>
          <bgColor indexed="51"/>
        </patternFill>
      </fill>
    </dxf>
    <dxf>
      <font>
        <color indexed="18"/>
      </font>
      <fill>
        <patternFill>
          <bgColor indexed="10"/>
        </patternFill>
      </fill>
    </dxf>
    <dxf>
      <font>
        <color indexed="23"/>
      </font>
      <fill>
        <patternFill>
          <bgColor indexed="22"/>
        </patternFill>
      </fill>
      <border>
        <left style="thin">
          <color indexed="23"/>
        </left>
        <right style="thin">
          <color indexed="23"/>
        </right>
        <top style="thin">
          <color indexed="23"/>
        </top>
        <bottom style="thin">
          <color indexed="23"/>
        </bottom>
      </border>
    </dxf>
    <dxf>
      <font>
        <color indexed="16"/>
      </font>
      <fill>
        <patternFill>
          <bgColor indexed="51"/>
        </patternFill>
      </fill>
    </dxf>
    <dxf>
      <font>
        <b/>
        <i val="0"/>
        <color indexed="18"/>
      </font>
      <fill>
        <patternFill>
          <bgColor indexed="10"/>
        </patternFill>
      </fill>
    </dxf>
    <dxf>
      <font>
        <color indexed="23"/>
      </font>
      <fill>
        <patternFill>
          <bgColor indexed="22"/>
        </patternFill>
      </fill>
      <border>
        <left style="thin">
          <color indexed="23"/>
        </left>
        <right style="thin">
          <color indexed="23"/>
        </right>
        <top style="thin">
          <color indexed="23"/>
        </top>
        <bottom style="thin">
          <color indexed="23"/>
        </bottom>
      </border>
    </dxf>
    <dxf>
      <font>
        <color indexed="16"/>
      </font>
      <fill>
        <patternFill>
          <bgColor indexed="51"/>
        </patternFill>
      </fill>
    </dxf>
    <dxf>
      <font>
        <b/>
        <i val="0"/>
        <color indexed="18"/>
      </font>
      <fill>
        <patternFill>
          <bgColor indexed="10"/>
        </patternFill>
      </fill>
    </dxf>
    <dxf>
      <font>
        <b/>
        <i val="0"/>
        <color indexed="23"/>
      </font>
      <fill>
        <patternFill>
          <bgColor indexed="22"/>
        </patternFill>
      </fill>
      <border>
        <left style="thin">
          <color indexed="23"/>
        </left>
        <right style="thin">
          <color indexed="23"/>
        </right>
        <top style="thin">
          <color indexed="23"/>
        </top>
        <bottom style="thin">
          <color indexed="23"/>
        </bottom>
      </border>
    </dxf>
    <dxf>
      <font>
        <color indexed="44"/>
      </font>
      <fill>
        <patternFill>
          <bgColor indexed="44"/>
        </patternFill>
      </fill>
      <border>
        <left/>
        <right/>
      </border>
    </dxf>
    <dxf>
      <font>
        <color indexed="23"/>
      </font>
      <fill>
        <patternFill>
          <bgColor indexed="22"/>
        </patternFill>
      </fill>
      <border>
        <left style="thin">
          <color indexed="23"/>
        </left>
        <right style="thin">
          <color indexed="23"/>
        </right>
        <top style="thin">
          <color indexed="23"/>
        </top>
        <bottom style="thin">
          <color indexed="23"/>
        </bottom>
      </border>
    </dxf>
    <dxf>
      <fill>
        <patternFill>
          <bgColor indexed="42"/>
        </patternFill>
      </fill>
    </dxf>
    <dxf>
      <font>
        <color indexed="23"/>
      </font>
      <fill>
        <patternFill>
          <bgColor indexed="22"/>
        </patternFill>
      </fill>
      <border>
        <left style="thin">
          <color indexed="23"/>
        </left>
        <right style="thin">
          <color indexed="23"/>
        </right>
        <top style="thin">
          <color indexed="23"/>
        </top>
        <bottom style="thin">
          <color indexed="23"/>
        </bottom>
      </border>
    </dxf>
    <dxf>
      <fill>
        <patternFill>
          <bgColor indexed="42"/>
        </patternFill>
      </fill>
    </dxf>
    <dxf>
      <font>
        <color indexed="23"/>
      </font>
      <fill>
        <patternFill>
          <bgColor indexed="22"/>
        </patternFill>
      </fill>
      <border>
        <left style="thin">
          <color indexed="23"/>
        </left>
        <right style="thin">
          <color indexed="23"/>
        </right>
        <top style="thin">
          <color indexed="23"/>
        </top>
        <bottom style="thin">
          <color indexed="23"/>
        </bottom>
      </border>
    </dxf>
    <dxf>
      <font>
        <color indexed="10"/>
      </font>
      <fill>
        <patternFill>
          <bgColor indexed="9"/>
        </patternFill>
      </fill>
      <border>
        <left style="thin">
          <color indexed="62"/>
        </left>
        <right style="thin">
          <color indexed="62"/>
        </right>
      </border>
    </dxf>
    <dxf>
      <font>
        <color indexed="44"/>
      </font>
      <fill>
        <patternFill patternType="lightGray">
          <fgColor indexed="55"/>
          <bgColor indexed="44"/>
        </patternFill>
      </fill>
      <border>
        <left/>
        <right/>
      </border>
    </dxf>
    <dxf>
      <font>
        <color indexed="23"/>
      </font>
      <fill>
        <patternFill>
          <bgColor indexed="22"/>
        </patternFill>
      </fill>
      <border>
        <left style="thin">
          <color indexed="23"/>
        </left>
        <right style="thin">
          <color indexed="23"/>
        </right>
        <top style="thin">
          <color indexed="23"/>
        </top>
        <bottom style="thin">
          <color indexed="23"/>
        </bottom>
      </border>
    </dxf>
    <dxf>
      <font>
        <color indexed="23"/>
      </font>
      <fill>
        <patternFill patternType="lightGray">
          <fgColor indexed="55"/>
          <bgColor indexed="44"/>
        </patternFill>
      </fill>
      <border>
        <bottom style="thin">
          <color indexed="23"/>
        </bottom>
      </border>
    </dxf>
    <dxf>
      <font>
        <b val="0"/>
        <i val="0"/>
        <u val="none"/>
        <color indexed="23"/>
      </font>
      <fill>
        <patternFill patternType="lightGray">
          <fgColor indexed="55"/>
        </patternFill>
      </fill>
    </dxf>
    <dxf>
      <font>
        <color indexed="10"/>
      </font>
    </dxf>
    <dxf>
      <font>
        <color indexed="23"/>
      </font>
      <fill>
        <patternFill patternType="lightGray">
          <fgColor indexed="55"/>
        </patternFill>
      </fill>
      <border>
        <bottom style="thin">
          <color indexed="23"/>
        </bottom>
      </border>
    </dxf>
    <dxf>
      <font>
        <color indexed="10"/>
      </font>
    </dxf>
    <dxf>
      <font>
        <color indexed="23"/>
      </font>
      <fill>
        <patternFill patternType="lightGray">
          <fgColor indexed="55"/>
        </patternFill>
      </fill>
      <border>
        <bottom style="thin">
          <color indexed="23"/>
        </bottom>
      </border>
    </dxf>
    <dxf>
      <font>
        <color indexed="23"/>
      </font>
      <fill>
        <patternFill patternType="lightGray">
          <fgColor indexed="55"/>
        </patternFill>
      </fill>
      <border>
        <bottom style="thin">
          <color indexed="23"/>
        </bottom>
      </border>
    </dxf>
    <dxf>
      <font>
        <b/>
        <i val="0"/>
      </font>
      <fill>
        <patternFill>
          <bgColor indexed="42"/>
        </patternFill>
      </fill>
    </dxf>
    <dxf>
      <font>
        <b/>
        <i val="0"/>
        <color indexed="23"/>
      </font>
      <fill>
        <patternFill>
          <bgColor indexed="22"/>
        </patternFill>
      </fill>
      <border>
        <left style="thin">
          <color indexed="23"/>
        </left>
        <right style="thin">
          <color indexed="23"/>
        </right>
        <top style="thin">
          <color indexed="23"/>
        </top>
        <bottom style="thin">
          <color indexed="23"/>
        </bottom>
      </border>
    </dxf>
    <dxf>
      <font>
        <color indexed="23"/>
      </font>
      <fill>
        <patternFill patternType="lightGray">
          <fgColor indexed="55"/>
        </patternFill>
      </fill>
    </dxf>
    <dxf>
      <fill>
        <patternFill patternType="lightGray">
          <fgColor indexed="55"/>
        </patternFill>
      </fill>
    </dxf>
    <dxf>
      <font>
        <color indexed="44"/>
      </font>
    </dxf>
    <dxf>
      <font>
        <color indexed="11"/>
      </font>
    </dxf>
    <dxf>
      <font>
        <color indexed="52"/>
      </font>
    </dxf>
    <dxf>
      <fill>
        <patternFill patternType="lightGray">
          <fgColor indexed="55"/>
        </patternFill>
      </fill>
    </dxf>
    <dxf>
      <fill>
        <patternFill>
          <bgColor indexed="42"/>
        </patternFill>
      </fill>
    </dxf>
    <dxf>
      <fill>
        <patternFill>
          <bgColor indexed="11"/>
        </patternFill>
      </fill>
    </dxf>
    <dxf>
      <font>
        <color auto="1"/>
      </font>
    </dxf>
    <dxf>
      <font>
        <color indexed="9"/>
      </font>
      <fill>
        <patternFill>
          <bgColor indexed="9"/>
        </patternFill>
      </fill>
    </dxf>
    <dxf>
      <font>
        <color auto="1"/>
      </font>
    </dxf>
    <dxf>
      <font>
        <color indexed="9"/>
      </font>
      <fill>
        <patternFill>
          <bgColor indexed="9"/>
        </patternFill>
      </fill>
    </dxf>
    <dxf>
      <border>
        <top style="thin">
          <color indexed="63"/>
        </top>
      </border>
    </dxf>
    <dxf>
      <font>
        <b/>
        <i val="0"/>
        <color indexed="12"/>
      </font>
      <fill>
        <patternFill>
          <bgColor indexed="42"/>
        </patternFill>
      </fill>
      <border>
        <left style="thin">
          <color indexed="48"/>
        </left>
        <right style="thin">
          <color indexed="48"/>
        </right>
        <top style="thin">
          <color indexed="48"/>
        </top>
        <bottom style="thin">
          <color indexed="48"/>
        </bottom>
      </border>
    </dxf>
    <dxf>
      <font>
        <color indexed="9"/>
      </font>
    </dxf>
    <dxf>
      <fill>
        <patternFill>
          <bgColor indexed="9"/>
        </patternFill>
      </fill>
      <border>
        <bottom style="thin">
          <color indexed="40"/>
        </bottom>
      </border>
    </dxf>
    <dxf>
      <font>
        <color auto="1"/>
      </font>
      <fill>
        <patternFill>
          <bgColor indexed="9"/>
        </patternFill>
      </fill>
      <border>
        <top style="thin">
          <color indexed="40"/>
        </top>
        <bottom style="thin">
          <color indexed="40"/>
        </bottom>
      </border>
    </dxf>
    <dxf>
      <fill>
        <patternFill>
          <bgColor indexed="9"/>
        </patternFill>
      </fill>
      <border>
        <bottom style="thin">
          <color indexed="40"/>
        </bottom>
      </border>
    </dxf>
    <dxf>
      <font>
        <color auto="1"/>
      </font>
      <fill>
        <patternFill>
          <bgColor indexed="9"/>
        </patternFill>
      </fill>
    </dxf>
    <dxf>
      <fill>
        <patternFill>
          <bgColor indexed="41"/>
        </patternFill>
      </fill>
    </dxf>
    <dxf>
      <font>
        <color auto="1"/>
      </font>
      <fill>
        <patternFill>
          <bgColor indexed="9"/>
        </patternFill>
      </fill>
    </dxf>
    <dxf>
      <fill>
        <patternFill>
          <bgColor indexed="9"/>
        </patternFill>
      </fill>
    </dxf>
    <dxf>
      <font>
        <color indexed="9"/>
      </font>
      <fill>
        <patternFill>
          <bgColor indexed="9"/>
        </patternFill>
      </fill>
    </dxf>
    <dxf>
      <font>
        <color indexed="9"/>
      </font>
      <fill>
        <patternFill>
          <bgColor indexed="9"/>
        </patternFill>
      </fill>
      <border>
        <top style="thin">
          <color indexed="40"/>
        </top>
      </border>
    </dxf>
    <dxf>
      <fill>
        <patternFill>
          <bgColor indexed="9"/>
        </patternFill>
      </fill>
    </dxf>
    <dxf>
      <font>
        <color auto="1"/>
      </font>
      <fill>
        <patternFill>
          <bgColor indexed="9"/>
        </patternFill>
      </fill>
    </dxf>
    <dxf>
      <font>
        <color indexed="15"/>
      </font>
      <fill>
        <patternFill>
          <bgColor indexed="15"/>
        </patternFill>
      </fill>
      <border>
        <bottom style="thin">
          <color indexed="40"/>
        </bottom>
      </border>
    </dxf>
    <dxf>
      <font>
        <color indexed="9"/>
      </font>
      <fill>
        <patternFill>
          <bgColor indexed="9"/>
        </patternFill>
      </fill>
    </dxf>
    <dxf>
      <fill>
        <patternFill>
          <bgColor indexed="15"/>
        </patternFill>
      </fill>
      <border>
        <bottom style="thin">
          <color indexed="40"/>
        </bottom>
      </border>
    </dxf>
    <dxf>
      <font>
        <color auto="1"/>
      </font>
      <fill>
        <patternFill>
          <bgColor indexed="9"/>
        </patternFill>
      </fill>
    </dxf>
    <dxf>
      <fill>
        <patternFill>
          <bgColor indexed="15"/>
        </patternFill>
      </fill>
      <border>
        <left style="thin">
          <color indexed="40"/>
        </left>
        <right style="thin">
          <color indexed="40"/>
        </right>
        <top>
          <color indexed="63"/>
        </top>
        <bottom style="thin">
          <color indexed="40"/>
        </bottom>
      </border>
    </dxf>
    <dxf>
      <font>
        <color auto="1"/>
      </font>
      <fill>
        <patternFill>
          <bgColor indexed="9"/>
        </patternFill>
      </fill>
    </dxf>
    <dxf>
      <font>
        <color indexed="15"/>
      </font>
      <fill>
        <patternFill>
          <bgColor indexed="15"/>
        </patternFill>
      </fill>
    </dxf>
    <dxf>
      <font>
        <color auto="1"/>
      </font>
      <fill>
        <patternFill>
          <bgColor indexed="9"/>
        </patternFill>
      </fill>
    </dxf>
    <dxf>
      <font>
        <b val="0"/>
        <i val="0"/>
      </font>
    </dxf>
    <dxf>
      <font>
        <color auto="1"/>
      </font>
      <fill>
        <patternFill>
          <bgColor indexed="9"/>
        </patternFill>
      </fill>
    </dxf>
    <dxf>
      <font>
        <color auto="1"/>
      </font>
    </dxf>
    <dxf>
      <font>
        <color indexed="9"/>
      </font>
      <fill>
        <patternFill>
          <bgColor indexed="9"/>
        </patternFill>
      </fill>
    </dxf>
    <dxf>
      <fill>
        <patternFill>
          <bgColor indexed="15"/>
        </patternFill>
      </fill>
    </dxf>
    <dxf>
      <font>
        <color indexed="62"/>
      </font>
      <fill>
        <patternFill>
          <bgColor indexed="15"/>
        </patternFill>
      </fill>
    </dxf>
    <dxf>
      <font>
        <color auto="1"/>
      </font>
      <fill>
        <patternFill>
          <bgColor indexed="9"/>
        </patternFill>
      </fill>
    </dxf>
    <dxf>
      <font>
        <color indexed="18"/>
      </font>
      <fill>
        <patternFill>
          <bgColor indexed="15"/>
        </patternFill>
      </fill>
    </dxf>
    <dxf>
      <font>
        <color auto="1"/>
      </font>
      <fill>
        <patternFill>
          <bgColor indexed="9"/>
        </patternFill>
      </fill>
    </dxf>
    <dxf>
      <fill>
        <patternFill>
          <bgColor indexed="9"/>
        </patternFill>
      </fill>
      <border>
        <bottom style="thin">
          <color indexed="40"/>
        </bottom>
      </border>
    </dxf>
    <dxf>
      <font>
        <color auto="1"/>
      </font>
      <fill>
        <patternFill>
          <bgColor indexed="9"/>
        </patternFill>
      </fill>
      <border>
        <bottom style="thin">
          <color indexed="40"/>
        </bottom>
      </border>
    </dxf>
    <dxf>
      <font>
        <color auto="1"/>
      </font>
      <fill>
        <patternFill>
          <bgColor indexed="9"/>
        </patternFill>
      </fill>
      <border>
        <bottom style="thin">
          <color indexed="40"/>
        </bottom>
      </border>
    </dxf>
    <dxf>
      <font>
        <color indexed="63"/>
      </font>
      <fill>
        <patternFill>
          <bgColor indexed="9"/>
        </patternFill>
      </fill>
    </dxf>
    <dxf>
      <font>
        <color indexed="9"/>
      </font>
      <fill>
        <patternFill>
          <bgColor indexed="9"/>
        </patternFill>
      </fill>
    </dxf>
    <dxf>
      <font>
        <color auto="1"/>
      </font>
      <fill>
        <patternFill>
          <bgColor indexed="9"/>
        </patternFill>
      </fill>
    </dxf>
    <dxf>
      <font>
        <color auto="1"/>
      </font>
      <fill>
        <patternFill>
          <bgColor rgb="FFFFFFFF"/>
        </patternFill>
      </fill>
      <border>
        <bottom style="thin">
          <color rgb="FF000000"/>
        </bottom>
      </border>
    </dxf>
    <dxf>
      <fill>
        <patternFill>
          <bgColor rgb="FF00FFFF"/>
        </patternFill>
      </fill>
      <border>
        <left style="thin">
          <color rgb="FF00CCFF"/>
        </left>
        <right style="thin">
          <color rgb="FF000000"/>
        </right>
        <top/>
        <bottom style="thin">
          <color rgb="FF000000"/>
        </bottom>
      </border>
    </dxf>
    <dxf>
      <fill>
        <patternFill>
          <bgColor rgb="FF00FFFF"/>
        </patternFill>
      </fill>
      <border>
        <bottom style="thin">
          <color rgb="FF000000"/>
        </bottom>
      </border>
    </dxf>
    <dxf>
      <font>
        <color rgb="FF00FFFF"/>
      </font>
      <fill>
        <patternFill>
          <bgColor rgb="FF00FFFF"/>
        </patternFill>
      </fill>
      <border>
        <bottom style="thin">
          <color rgb="FF000000"/>
        </bottom>
      </border>
    </dxf>
    <dxf>
      <font>
        <color rgb="FFFFFFFF"/>
      </font>
      <fill>
        <patternFill>
          <bgColor rgb="FFFFFFFF"/>
        </patternFill>
      </fill>
      <border>
        <top style="thin">
          <color rgb="FF000000"/>
        </top>
      </border>
    </dxf>
    <dxf>
      <font>
        <color auto="1"/>
      </font>
      <fill>
        <patternFill>
          <bgColor rgb="FFFFFFFF"/>
        </patternFill>
      </fill>
      <border>
        <top style="thin"/>
        <bottom style="thin">
          <color rgb="FF000000"/>
        </bottom>
      </border>
    </dxf>
    <dxf>
      <font>
        <b/>
        <i val="0"/>
        <color rgb="FF0000FF"/>
      </font>
      <fill>
        <patternFill>
          <bgColor rgb="FFCCFFCC"/>
        </patternFill>
      </fill>
      <border>
        <left style="thin">
          <color rgb="FF3366FF"/>
        </left>
        <right style="thin">
          <color rgb="FF000000"/>
        </right>
        <top style="thin"/>
        <bottom style="thin">
          <color rgb="FF000000"/>
        </bottom>
      </border>
    </dxf>
    <dxf>
      <border>
        <top style="thin">
          <color rgb="FF000000"/>
        </top>
      </border>
    </dxf>
    <dxf>
      <font>
        <b/>
        <i val="0"/>
        <color rgb="FF808080"/>
      </font>
      <fill>
        <patternFill>
          <bgColor rgb="FFC0C0C0"/>
        </patternFill>
      </fill>
      <border>
        <left style="thin">
          <color rgb="FF808080"/>
        </left>
        <right style="thin">
          <color rgb="FF00FFFF"/>
        </right>
        <top style="thin"/>
        <bottom style="thin">
          <color rgb="FF00FFFF"/>
        </bottom>
      </border>
    </dxf>
    <dxf>
      <font>
        <color rgb="FF808080"/>
      </font>
      <fill>
        <patternFill patternType="lightGray">
          <fgColor rgb="FF969696"/>
        </patternFill>
      </fill>
      <border>
        <bottom style="thin">
          <color rgb="FF00FFFF"/>
        </bottom>
      </border>
    </dxf>
    <dxf>
      <font>
        <color rgb="FF808080"/>
      </font>
      <fill>
        <patternFill patternType="lightGray">
          <fgColor rgb="FF969696"/>
          <bgColor rgb="FF99CCFF"/>
        </patternFill>
      </fill>
      <border>
        <bottom style="thin">
          <color rgb="FF00FFFF"/>
        </bottom>
      </border>
    </dxf>
    <dxf>
      <font>
        <color rgb="FF808080"/>
      </font>
      <fill>
        <patternFill>
          <bgColor rgb="FFC0C0C0"/>
        </patternFill>
      </fill>
      <border>
        <left style="thin">
          <color rgb="FF808080"/>
        </left>
        <right style="thin">
          <color rgb="FF00FFFF"/>
        </right>
        <top style="thin"/>
        <bottom style="thin">
          <color rgb="FF00FFFF"/>
        </bottom>
      </border>
    </dxf>
    <dxf>
      <font>
        <color rgb="FFFF0000"/>
      </font>
      <fill>
        <patternFill>
          <bgColor rgb="FFFFFFFF"/>
        </patternFill>
      </fill>
      <border>
        <left style="thin">
          <color rgb="FF333399"/>
        </left>
        <right style="thin">
          <color rgb="FFFF00FF"/>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udioschiavello.eu/Utilities/F24Elide_Imposta_Registro_Locazion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505"/>
  <sheetViews>
    <sheetView showGridLines="0" showRowColHeaders="0" tabSelected="1" zoomScale="135" zoomScaleNormal="135" zoomScalePageLayoutView="0" workbookViewId="0" topLeftCell="A1">
      <selection activeCell="A104" sqref="A104:IV486"/>
    </sheetView>
  </sheetViews>
  <sheetFormatPr defaultColWidth="9.140625" defaultRowHeight="12.75"/>
  <cols>
    <col min="1" max="16" width="3.140625" style="0" bestFit="1" customWidth="1"/>
    <col min="17" max="17" width="3.421875" style="0" bestFit="1" customWidth="1"/>
    <col min="18" max="23" width="3.140625" style="0" bestFit="1" customWidth="1"/>
    <col min="24" max="24" width="3.00390625" style="0" bestFit="1" customWidth="1"/>
    <col min="25" max="16384" width="3.140625" style="0" bestFit="1" customWidth="1"/>
  </cols>
  <sheetData>
    <row r="1" spans="1:72" ht="15" customHeight="1">
      <c r="A1" s="371">
        <f>C421</f>
        <v>1</v>
      </c>
      <c r="B1" s="366"/>
      <c r="C1" s="365"/>
      <c r="D1" s="365"/>
      <c r="E1" s="365"/>
      <c r="F1" s="365"/>
      <c r="G1" s="365"/>
      <c r="H1" s="365"/>
      <c r="I1" s="365"/>
      <c r="J1" s="365"/>
      <c r="K1" s="365"/>
      <c r="L1" s="365"/>
      <c r="M1" s="365"/>
      <c r="N1" s="365"/>
      <c r="O1" s="365"/>
      <c r="P1" s="365"/>
      <c r="Q1" s="365"/>
      <c r="R1" s="365"/>
      <c r="S1" s="365"/>
      <c r="T1" s="365"/>
      <c r="U1" s="365"/>
      <c r="V1" s="365"/>
      <c r="W1" s="365"/>
      <c r="X1" s="365"/>
      <c r="Y1" s="711"/>
      <c r="Z1" s="711"/>
      <c r="AA1" s="711"/>
      <c r="AB1" s="711"/>
      <c r="AC1" s="711"/>
      <c r="AD1" s="711"/>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6"/>
      <c r="BQ1" s="356"/>
      <c r="BR1" s="356"/>
      <c r="BS1" s="356"/>
      <c r="BT1" s="357"/>
    </row>
    <row r="2" spans="1:74" s="5" customFormat="1" ht="11.25" customHeight="1">
      <c r="A2" s="354"/>
      <c r="B2" s="97"/>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3"/>
      <c r="AF2" s="94"/>
      <c r="AG2" s="449">
        <f>IF(LEFT(AS107,2)="15","ATTENZIONE!","")</f>
      </c>
      <c r="AH2" s="449"/>
      <c r="AI2" s="449"/>
      <c r="AJ2" s="449"/>
      <c r="AK2" s="449"/>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353"/>
      <c r="BQ2" s="353"/>
      <c r="BR2" s="353"/>
      <c r="BS2" s="353"/>
      <c r="BT2" s="358"/>
      <c r="BU2"/>
      <c r="BV2" s="4"/>
    </row>
    <row r="3" spans="1:93" s="5" customFormat="1" ht="14.25" customHeight="1">
      <c r="A3" s="354"/>
      <c r="B3" s="2"/>
      <c r="C3" s="2"/>
      <c r="D3" s="2"/>
      <c r="E3" s="718" t="s">
        <v>0</v>
      </c>
      <c r="F3" s="718"/>
      <c r="G3" s="718"/>
      <c r="H3" s="718"/>
      <c r="I3" s="719" t="s">
        <v>1</v>
      </c>
      <c r="J3" s="719"/>
      <c r="K3" s="719"/>
      <c r="L3" s="719"/>
      <c r="M3" s="719"/>
      <c r="N3" s="719"/>
      <c r="O3" s="719"/>
      <c r="P3" s="719"/>
      <c r="Q3" s="719"/>
      <c r="R3" s="719"/>
      <c r="S3" s="719"/>
      <c r="T3" s="719"/>
      <c r="U3" s="719"/>
      <c r="V3" s="719"/>
      <c r="W3" s="719"/>
      <c r="X3" s="719"/>
      <c r="Y3" s="719"/>
      <c r="Z3" s="719"/>
      <c r="AA3" s="719"/>
      <c r="AB3" s="719"/>
      <c r="AC3" s="2"/>
      <c r="AD3" s="2"/>
      <c r="AE3" s="3"/>
      <c r="AF3" s="94"/>
      <c r="AG3" s="450">
        <f>IF(AG2="","","Per il ravvedimento operoso delle imposte sulle locazioni si consiglia di utilizzare il foglio excel pubblicato nella pagina 'F24 elide' del sito.")</f>
      </c>
      <c r="AH3" s="450"/>
      <c r="AI3" s="450"/>
      <c r="AJ3" s="450"/>
      <c r="AK3" s="450"/>
      <c r="AL3" s="323"/>
      <c r="AM3" s="323"/>
      <c r="AN3" s="323"/>
      <c r="AO3" s="323"/>
      <c r="AP3" s="323"/>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353"/>
      <c r="BQ3" s="353"/>
      <c r="BR3" s="353"/>
      <c r="BS3" s="353"/>
      <c r="BT3" s="358"/>
      <c r="BU3"/>
      <c r="BV3" s="4"/>
      <c r="BW3" s="4"/>
      <c r="BX3" s="4"/>
      <c r="BY3" s="4"/>
      <c r="BZ3" s="4"/>
      <c r="CA3" s="4"/>
      <c r="CB3" s="4"/>
      <c r="CC3" s="4"/>
      <c r="CD3" s="4"/>
      <c r="CE3" s="4"/>
      <c r="CF3" s="4"/>
      <c r="CG3" s="4"/>
      <c r="CH3" s="4"/>
      <c r="CI3" s="4"/>
      <c r="CJ3" s="4"/>
      <c r="CK3" s="4"/>
      <c r="CL3" s="4"/>
      <c r="CM3" s="4"/>
      <c r="CN3" s="4"/>
      <c r="CO3" s="4"/>
    </row>
    <row r="4" spans="1:93" s="5" customFormat="1" ht="2.25" customHeight="1">
      <c r="A4" s="354"/>
      <c r="B4" s="2"/>
      <c r="C4" s="2"/>
      <c r="D4" s="2"/>
      <c r="E4" s="600"/>
      <c r="F4" s="600"/>
      <c r="G4" s="600"/>
      <c r="H4" s="600"/>
      <c r="I4" s="600"/>
      <c r="J4" s="600"/>
      <c r="K4" s="600"/>
      <c r="L4" s="600"/>
      <c r="M4" s="600"/>
      <c r="N4" s="600"/>
      <c r="O4" s="600"/>
      <c r="P4" s="600"/>
      <c r="Q4" s="600"/>
      <c r="R4" s="600"/>
      <c r="S4" s="600"/>
      <c r="T4" s="600"/>
      <c r="U4" s="600"/>
      <c r="V4" s="600"/>
      <c r="W4" s="600"/>
      <c r="X4" s="600"/>
      <c r="Y4" s="600"/>
      <c r="Z4" s="600"/>
      <c r="AA4" s="600"/>
      <c r="AB4" s="600"/>
      <c r="AC4" s="2"/>
      <c r="AD4" s="2"/>
      <c r="AE4" s="3"/>
      <c r="AF4" s="94"/>
      <c r="AG4" s="450"/>
      <c r="AH4" s="450"/>
      <c r="AI4" s="450"/>
      <c r="AJ4" s="450"/>
      <c r="AK4" s="450"/>
      <c r="AL4" s="323"/>
      <c r="AM4" s="323"/>
      <c r="AN4" s="323"/>
      <c r="AO4" s="323"/>
      <c r="AP4" s="323"/>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353"/>
      <c r="BQ4" s="353"/>
      <c r="BR4" s="353"/>
      <c r="BS4" s="353"/>
      <c r="BT4" s="358"/>
      <c r="BU4"/>
      <c r="BV4" s="4"/>
      <c r="BW4" s="4"/>
      <c r="BX4" s="4"/>
      <c r="BY4" s="4"/>
      <c r="BZ4" s="4"/>
      <c r="CA4" s="4"/>
      <c r="CB4" s="4"/>
      <c r="CC4" s="4"/>
      <c r="CD4" s="4"/>
      <c r="CE4" s="4"/>
      <c r="CF4" s="4"/>
      <c r="CG4" s="4"/>
      <c r="CH4" s="4"/>
      <c r="CI4" s="4"/>
      <c r="CJ4" s="4"/>
      <c r="CK4" s="4"/>
      <c r="CL4" s="4"/>
      <c r="CM4" s="4"/>
      <c r="CN4" s="4"/>
      <c r="CO4" s="4"/>
    </row>
    <row r="5" spans="1:93" s="5" customFormat="1" ht="15" customHeight="1">
      <c r="A5" s="354"/>
      <c r="B5" s="2"/>
      <c r="C5" s="2"/>
      <c r="D5" s="2"/>
      <c r="E5" s="597"/>
      <c r="F5" s="598"/>
      <c r="G5" s="598"/>
      <c r="H5" s="598"/>
      <c r="I5" s="598"/>
      <c r="J5" s="598"/>
      <c r="K5" s="598"/>
      <c r="L5" s="598"/>
      <c r="M5" s="598"/>
      <c r="N5" s="598"/>
      <c r="O5" s="598"/>
      <c r="P5" s="598"/>
      <c r="Q5" s="598"/>
      <c r="R5" s="598"/>
      <c r="S5" s="598"/>
      <c r="T5" s="598"/>
      <c r="U5" s="598"/>
      <c r="V5" s="598"/>
      <c r="W5" s="598"/>
      <c r="X5" s="598"/>
      <c r="Y5" s="598"/>
      <c r="Z5" s="598"/>
      <c r="AA5" s="598"/>
      <c r="AB5" s="599"/>
      <c r="AC5" s="341"/>
      <c r="AD5" s="273"/>
      <c r="AE5" s="3"/>
      <c r="AF5" s="94"/>
      <c r="AG5" s="450"/>
      <c r="AH5" s="450"/>
      <c r="AI5" s="450"/>
      <c r="AJ5" s="450"/>
      <c r="AK5" s="450"/>
      <c r="AL5" s="323"/>
      <c r="AM5" s="323"/>
      <c r="AN5" s="323"/>
      <c r="AO5" s="323"/>
      <c r="AP5" s="323"/>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353"/>
      <c r="BQ5" s="353"/>
      <c r="BR5" s="353"/>
      <c r="BS5" s="353"/>
      <c r="BT5" s="358"/>
      <c r="BU5"/>
      <c r="BV5" s="4"/>
      <c r="BW5" s="4"/>
      <c r="BX5" s="4"/>
      <c r="BY5" s="4"/>
      <c r="BZ5" s="4"/>
      <c r="CA5" s="4"/>
      <c r="CB5" s="4"/>
      <c r="CC5" s="4"/>
      <c r="CD5" s="4"/>
      <c r="CE5" s="4"/>
      <c r="CF5" s="4"/>
      <c r="CG5" s="4"/>
      <c r="CH5" s="4"/>
      <c r="CI5" s="4"/>
      <c r="CJ5" s="4"/>
      <c r="CK5" s="4"/>
      <c r="CL5" s="4"/>
      <c r="CM5" s="4"/>
      <c r="CN5" s="4"/>
      <c r="CO5" s="4"/>
    </row>
    <row r="6" spans="1:93" s="5" customFormat="1" ht="9" customHeight="1">
      <c r="A6" s="354"/>
      <c r="B6" s="2"/>
      <c r="C6" s="2"/>
      <c r="D6" s="2"/>
      <c r="E6" s="600"/>
      <c r="F6" s="600"/>
      <c r="G6" s="600"/>
      <c r="H6" s="600"/>
      <c r="I6" s="600"/>
      <c r="J6" s="600"/>
      <c r="K6" s="600"/>
      <c r="L6" s="600"/>
      <c r="M6" s="600"/>
      <c r="N6" s="600"/>
      <c r="O6" s="600"/>
      <c r="P6" s="600"/>
      <c r="Q6" s="600"/>
      <c r="R6" s="600"/>
      <c r="S6" s="600"/>
      <c r="T6" s="600"/>
      <c r="U6" s="600"/>
      <c r="V6" s="600"/>
      <c r="W6" s="600"/>
      <c r="X6" s="600"/>
      <c r="Y6" s="600"/>
      <c r="Z6" s="600"/>
      <c r="AA6" s="600"/>
      <c r="AB6" s="600"/>
      <c r="AC6" s="341"/>
      <c r="AD6" s="273"/>
      <c r="AE6" s="3"/>
      <c r="AF6" s="94"/>
      <c r="AG6" s="450"/>
      <c r="AH6" s="450"/>
      <c r="AI6" s="450"/>
      <c r="AJ6" s="450"/>
      <c r="AK6" s="450"/>
      <c r="AL6" s="323"/>
      <c r="AM6" s="323"/>
      <c r="AN6" s="323"/>
      <c r="AO6" s="323"/>
      <c r="AP6" s="323"/>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353"/>
      <c r="BQ6" s="353"/>
      <c r="BR6" s="353"/>
      <c r="BS6" s="353"/>
      <c r="BT6" s="358"/>
      <c r="BU6"/>
      <c r="BV6" s="4"/>
      <c r="BW6" s="4"/>
      <c r="BX6" s="4"/>
      <c r="BY6" s="4"/>
      <c r="BZ6" s="4"/>
      <c r="CA6" s="4"/>
      <c r="CB6" s="4"/>
      <c r="CC6" s="4"/>
      <c r="CD6" s="4"/>
      <c r="CE6" s="4"/>
      <c r="CF6" s="4"/>
      <c r="CG6" s="4"/>
      <c r="CH6" s="4"/>
      <c r="CI6" s="4"/>
      <c r="CJ6" s="4"/>
      <c r="CK6" s="4"/>
      <c r="CL6" s="4"/>
      <c r="CM6" s="4"/>
      <c r="CN6" s="4"/>
      <c r="CO6" s="4"/>
    </row>
    <row r="7" spans="1:98" s="5" customFormat="1" ht="14.25" customHeight="1">
      <c r="A7" s="354"/>
      <c r="B7" s="2"/>
      <c r="C7" s="2"/>
      <c r="D7" s="2"/>
      <c r="E7" s="601" t="s">
        <v>2</v>
      </c>
      <c r="F7" s="601"/>
      <c r="G7" s="601"/>
      <c r="H7" s="601"/>
      <c r="I7" s="601"/>
      <c r="J7" s="601"/>
      <c r="K7" s="601"/>
      <c r="L7" s="601"/>
      <c r="M7" s="337"/>
      <c r="N7" s="602" t="s">
        <v>3</v>
      </c>
      <c r="O7" s="603"/>
      <c r="P7" s="603"/>
      <c r="Q7" s="603"/>
      <c r="R7" s="603"/>
      <c r="S7" s="603"/>
      <c r="T7" s="603"/>
      <c r="U7" s="603"/>
      <c r="V7" s="603"/>
      <c r="W7" s="603"/>
      <c r="X7" s="603"/>
      <c r="Y7" s="603"/>
      <c r="Z7" s="603"/>
      <c r="AA7" s="603"/>
      <c r="AB7" s="604"/>
      <c r="AC7" s="340">
        <f>IF(LEFT(N7,1)="-",0,1)</f>
        <v>0</v>
      </c>
      <c r="AD7" s="273"/>
      <c r="AE7" s="3"/>
      <c r="AF7" s="94"/>
      <c r="AG7" s="450"/>
      <c r="AH7" s="450"/>
      <c r="AI7" s="450"/>
      <c r="AJ7" s="450"/>
      <c r="AK7" s="450"/>
      <c r="AL7" s="323"/>
      <c r="AM7" s="323"/>
      <c r="AN7" s="323"/>
      <c r="AO7" s="323"/>
      <c r="AP7" s="323"/>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323"/>
      <c r="BQ7" s="353"/>
      <c r="BR7" s="353"/>
      <c r="BS7" s="353"/>
      <c r="BT7" s="358"/>
      <c r="BU7"/>
      <c r="BV7" s="4"/>
      <c r="BW7" s="4"/>
      <c r="BX7" s="4"/>
      <c r="BY7" s="4"/>
      <c r="BZ7" s="4"/>
      <c r="CA7" s="4"/>
      <c r="CB7" s="4"/>
      <c r="CC7" s="4"/>
      <c r="CD7" s="4"/>
      <c r="CE7" s="4"/>
      <c r="CF7" s="4"/>
      <c r="CG7" s="4"/>
      <c r="CH7" s="4"/>
      <c r="CI7" s="4"/>
      <c r="CJ7" s="4"/>
      <c r="CK7" s="4"/>
      <c r="CL7" s="4"/>
      <c r="CM7" s="4"/>
      <c r="CN7" s="4"/>
      <c r="CO7" s="4"/>
      <c r="CP7" s="4"/>
      <c r="CQ7" s="4"/>
      <c r="CR7" s="4"/>
      <c r="CS7" s="4"/>
      <c r="CT7" s="4"/>
    </row>
    <row r="8" spans="1:98" s="5" customFormat="1" ht="9" customHeight="1">
      <c r="A8" s="354"/>
      <c r="B8" s="2"/>
      <c r="C8" s="2"/>
      <c r="D8" s="2"/>
      <c r="E8" s="2"/>
      <c r="F8" s="2"/>
      <c r="G8" s="2"/>
      <c r="H8" s="2"/>
      <c r="I8" s="2"/>
      <c r="J8" s="2"/>
      <c r="K8" s="2"/>
      <c r="L8" s="2"/>
      <c r="M8" s="2"/>
      <c r="N8" s="2"/>
      <c r="O8" s="2"/>
      <c r="P8" s="2"/>
      <c r="Q8" s="2"/>
      <c r="R8" s="2"/>
      <c r="S8" s="2"/>
      <c r="T8" s="2"/>
      <c r="U8" s="2"/>
      <c r="V8" s="2"/>
      <c r="W8" s="2"/>
      <c r="X8" s="2"/>
      <c r="Y8" s="2"/>
      <c r="Z8" s="2"/>
      <c r="AA8" s="2"/>
      <c r="AB8" s="2"/>
      <c r="AC8" s="341"/>
      <c r="AD8" s="273"/>
      <c r="AE8" s="3"/>
      <c r="AF8" s="94"/>
      <c r="AG8" s="450"/>
      <c r="AH8" s="450"/>
      <c r="AI8" s="450"/>
      <c r="AJ8" s="450"/>
      <c r="AK8" s="450"/>
      <c r="AL8" s="323"/>
      <c r="AM8" s="323"/>
      <c r="AN8" s="323"/>
      <c r="AO8" s="323"/>
      <c r="AP8" s="323"/>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323"/>
      <c r="BQ8" s="353"/>
      <c r="BR8" s="353"/>
      <c r="BS8" s="323"/>
      <c r="BT8" s="358"/>
      <c r="BU8"/>
      <c r="BV8" s="4"/>
      <c r="BW8" s="4"/>
      <c r="BX8" s="4"/>
      <c r="BY8" s="4"/>
      <c r="BZ8" s="4"/>
      <c r="CA8" s="4"/>
      <c r="CB8" s="4"/>
      <c r="CC8" s="4"/>
      <c r="CD8" s="4"/>
      <c r="CE8" s="4"/>
      <c r="CF8" s="4"/>
      <c r="CG8" s="4"/>
      <c r="CH8" s="4"/>
      <c r="CI8" s="4"/>
      <c r="CJ8" s="4"/>
      <c r="CK8" s="4"/>
      <c r="CL8" s="4"/>
      <c r="CM8" s="4"/>
      <c r="CN8" s="4"/>
      <c r="CO8" s="4"/>
      <c r="CP8" s="4"/>
      <c r="CQ8" s="4"/>
      <c r="CR8" s="4"/>
      <c r="CS8" s="4"/>
      <c r="CT8" s="4"/>
    </row>
    <row r="9" spans="1:98" s="5" customFormat="1" ht="12.75">
      <c r="A9" s="354"/>
      <c r="B9" s="2"/>
      <c r="C9" s="2"/>
      <c r="D9" s="2"/>
      <c r="E9" s="601" t="s">
        <v>4</v>
      </c>
      <c r="F9" s="601"/>
      <c r="G9" s="601"/>
      <c r="H9" s="601"/>
      <c r="I9" s="601"/>
      <c r="J9" s="601"/>
      <c r="K9" s="601"/>
      <c r="L9" s="601"/>
      <c r="M9" s="337"/>
      <c r="N9" s="602" t="s">
        <v>5</v>
      </c>
      <c r="O9" s="603"/>
      <c r="P9" s="603"/>
      <c r="Q9" s="603"/>
      <c r="R9" s="603"/>
      <c r="S9" s="603"/>
      <c r="T9" s="603"/>
      <c r="U9" s="603"/>
      <c r="V9" s="603"/>
      <c r="W9" s="603"/>
      <c r="X9" s="603"/>
      <c r="Y9" s="603"/>
      <c r="Z9" s="603"/>
      <c r="AA9" s="603"/>
      <c r="AB9" s="604"/>
      <c r="AC9" s="340">
        <f>IF(LEFT(N9,1)="-",0,1)</f>
        <v>0</v>
      </c>
      <c r="AD9" s="273"/>
      <c r="AE9" s="3"/>
      <c r="AF9" s="94"/>
      <c r="AG9" s="450"/>
      <c r="AH9" s="450"/>
      <c r="AI9" s="450"/>
      <c r="AJ9" s="450"/>
      <c r="AK9" s="450"/>
      <c r="AL9" s="323"/>
      <c r="AM9" s="323"/>
      <c r="AN9" s="323"/>
      <c r="AO9" s="323"/>
      <c r="AP9" s="323"/>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323"/>
      <c r="BQ9" s="353"/>
      <c r="BR9" s="353"/>
      <c r="BS9" s="353"/>
      <c r="BT9" s="358"/>
      <c r="BU9"/>
      <c r="BV9" s="4"/>
      <c r="BW9" s="4"/>
      <c r="BX9" s="4"/>
      <c r="BY9" s="4"/>
      <c r="BZ9" s="4"/>
      <c r="CA9" s="4"/>
      <c r="CB9" s="4"/>
      <c r="CC9" s="4"/>
      <c r="CD9" s="4"/>
      <c r="CE9" s="4"/>
      <c r="CF9" s="4"/>
      <c r="CG9" s="4"/>
      <c r="CH9" s="4"/>
      <c r="CI9" s="4"/>
      <c r="CJ9" s="4"/>
      <c r="CK9" s="4"/>
      <c r="CL9" s="4"/>
      <c r="CM9" s="4"/>
      <c r="CN9" s="4"/>
      <c r="CO9" s="4"/>
      <c r="CP9" s="4"/>
      <c r="CQ9" s="4"/>
      <c r="CR9" s="4"/>
      <c r="CS9" s="4"/>
      <c r="CT9" s="4"/>
    </row>
    <row r="10" spans="1:100" s="5" customFormat="1" ht="9" customHeight="1">
      <c r="A10" s="354"/>
      <c r="B10" s="2"/>
      <c r="C10" s="2"/>
      <c r="D10" s="2"/>
      <c r="E10" s="529"/>
      <c r="F10" s="529"/>
      <c r="G10" s="529"/>
      <c r="H10" s="529"/>
      <c r="I10" s="529"/>
      <c r="J10" s="529"/>
      <c r="K10" s="529"/>
      <c r="L10" s="529"/>
      <c r="M10" s="529"/>
      <c r="N10" s="529"/>
      <c r="O10" s="529"/>
      <c r="P10" s="529"/>
      <c r="Q10" s="529"/>
      <c r="R10" s="529"/>
      <c r="S10" s="529"/>
      <c r="T10" s="529"/>
      <c r="U10" s="529"/>
      <c r="V10" s="529"/>
      <c r="W10" s="6"/>
      <c r="X10" s="600"/>
      <c r="Y10" s="600"/>
      <c r="Z10" s="600"/>
      <c r="AA10" s="600"/>
      <c r="AB10" s="600"/>
      <c r="AC10" s="341"/>
      <c r="AD10" s="273"/>
      <c r="AE10" s="3"/>
      <c r="AF10" s="94"/>
      <c r="AG10" s="323"/>
      <c r="AH10" s="448">
        <f>IF(AG2="","","► clicca qui ◄")</f>
      </c>
      <c r="AI10" s="448"/>
      <c r="AJ10" s="448"/>
      <c r="AK10" s="323"/>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323"/>
      <c r="BQ10" s="353"/>
      <c r="BR10" s="353"/>
      <c r="BS10" s="353"/>
      <c r="BT10" s="358"/>
      <c r="BU10"/>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V10" s="7"/>
    </row>
    <row r="11" spans="1:232" s="5" customFormat="1" ht="13.5" customHeight="1">
      <c r="A11" s="354"/>
      <c r="B11" s="2"/>
      <c r="C11" s="2"/>
      <c r="D11" s="2"/>
      <c r="E11" s="8" t="str">
        <f>IF(AS109=1507,"Imposta teorica su intera durata contrattuale","Importo da versare")</f>
        <v>Importo da versare</v>
      </c>
      <c r="F11" s="8"/>
      <c r="G11" s="8"/>
      <c r="H11" s="8"/>
      <c r="I11" s="8"/>
      <c r="J11" s="8"/>
      <c r="K11" s="8"/>
      <c r="L11" s="8"/>
      <c r="M11" s="8"/>
      <c r="N11" s="8"/>
      <c r="O11" s="8"/>
      <c r="P11" s="8"/>
      <c r="Q11" s="8"/>
      <c r="R11" s="8"/>
      <c r="S11" s="9"/>
      <c r="T11" s="9"/>
      <c r="U11" s="9"/>
      <c r="V11" s="9"/>
      <c r="W11" s="2"/>
      <c r="X11" s="593"/>
      <c r="Y11" s="594"/>
      <c r="Z11" s="594"/>
      <c r="AA11" s="594"/>
      <c r="AB11" s="595"/>
      <c r="AC11" s="341"/>
      <c r="AD11" s="273"/>
      <c r="AE11" s="3"/>
      <c r="AF11" s="94"/>
      <c r="AG11" s="323"/>
      <c r="AH11" s="323"/>
      <c r="AI11" s="323"/>
      <c r="AJ11" s="323"/>
      <c r="AK11" s="323"/>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353"/>
      <c r="BQ11" s="353"/>
      <c r="BR11" s="353"/>
      <c r="BS11" s="353"/>
      <c r="BT11" s="358"/>
      <c r="BU11"/>
      <c r="BV11" s="4"/>
      <c r="GQ11" s="4"/>
      <c r="HX11" s="4"/>
    </row>
    <row r="12" spans="1:232" s="5" customFormat="1" ht="13.5" customHeight="1">
      <c r="A12" s="354"/>
      <c r="B12" s="2"/>
      <c r="C12" s="2"/>
      <c r="D12" s="2"/>
      <c r="E12" s="8" t="str">
        <f>IF(AS109=1507,"","Importo eventualmente già versato")</f>
        <v>Importo eventualmente già versato</v>
      </c>
      <c r="F12" s="8"/>
      <c r="G12" s="8"/>
      <c r="H12" s="8"/>
      <c r="I12" s="8"/>
      <c r="J12" s="8"/>
      <c r="K12" s="8"/>
      <c r="L12" s="8"/>
      <c r="M12" s="8"/>
      <c r="N12" s="8"/>
      <c r="O12" s="8"/>
      <c r="P12" s="8"/>
      <c r="Q12" s="8"/>
      <c r="R12" s="8"/>
      <c r="S12" s="9"/>
      <c r="T12" s="9"/>
      <c r="U12" s="9"/>
      <c r="V12" s="9"/>
      <c r="W12" s="2"/>
      <c r="X12" s="593"/>
      <c r="Y12" s="594"/>
      <c r="Z12" s="594"/>
      <c r="AA12" s="594"/>
      <c r="AB12" s="595"/>
      <c r="AC12" s="341"/>
      <c r="AD12" s="273"/>
      <c r="AE12" s="3"/>
      <c r="AF12" s="720">
        <f>IF(OR(AS107=1500,AS107=1504),"RAVVEDIMENTO OPEROSO","")</f>
      </c>
      <c r="AG12" s="720"/>
      <c r="AH12" s="720"/>
      <c r="AI12" s="720"/>
      <c r="AJ12" s="720"/>
      <c r="AK12" s="720"/>
      <c r="AL12" s="720"/>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353"/>
      <c r="BQ12" s="353"/>
      <c r="BR12" s="353"/>
      <c r="BS12" s="353"/>
      <c r="BT12" s="358"/>
      <c r="BU12"/>
      <c r="BV12" s="4"/>
      <c r="GQ12" s="4"/>
      <c r="HX12" s="4"/>
    </row>
    <row r="13" spans="1:232" s="5" customFormat="1" ht="13.5" customHeight="1">
      <c r="A13" s="354"/>
      <c r="B13" s="2"/>
      <c r="C13" s="2"/>
      <c r="D13" s="2"/>
      <c r="E13" s="601" t="str">
        <f>IF(AS109=1507,"data di scad. registrazione","data dell'omesso versamento")</f>
        <v>data dell'omesso versamento</v>
      </c>
      <c r="F13" s="601"/>
      <c r="G13" s="601"/>
      <c r="H13" s="601"/>
      <c r="I13" s="601"/>
      <c r="J13" s="601"/>
      <c r="K13" s="601"/>
      <c r="L13" s="601"/>
      <c r="M13" s="611" t="s">
        <v>6</v>
      </c>
      <c r="N13" s="611"/>
      <c r="O13" s="611"/>
      <c r="P13" s="610" t="str">
        <f>"01/01/"&amp;YEAR(Q174)</f>
        <v>01/01/2015</v>
      </c>
      <c r="Q13" s="610"/>
      <c r="R13" s="610"/>
      <c r="S13" s="338"/>
      <c r="T13" s="605" t="str">
        <f>P125</f>
        <v>► ► ► ► ►</v>
      </c>
      <c r="U13" s="606"/>
      <c r="V13" s="606" t="str">
        <f>P125</f>
        <v>► ► ► ► ►</v>
      </c>
      <c r="W13" s="607"/>
      <c r="X13" s="608"/>
      <c r="Y13" s="608"/>
      <c r="Z13" s="608"/>
      <c r="AA13" s="608"/>
      <c r="AB13" s="609"/>
      <c r="AC13" s="340">
        <f>P124</f>
        <v>0</v>
      </c>
      <c r="AD13" s="273"/>
      <c r="AE13" s="3"/>
      <c r="AF13" s="720">
        <f>IF(AS107=1500,"PRIMA REGISTRAZIONE",IF(AS107=1504,"PROROGA CONTRATTO",""))</f>
      </c>
      <c r="AG13" s="720"/>
      <c r="AH13" s="720"/>
      <c r="AI13" s="720"/>
      <c r="AJ13" s="720"/>
      <c r="AK13" s="720"/>
      <c r="AL13" s="720"/>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353"/>
      <c r="BQ13" s="353"/>
      <c r="BR13" s="353"/>
      <c r="BS13" s="353"/>
      <c r="BT13" s="358"/>
      <c r="BU13"/>
      <c r="BV13" s="4"/>
      <c r="GQ13" s="10"/>
      <c r="HX13" s="10"/>
    </row>
    <row r="14" spans="1:232" s="5" customFormat="1" ht="13.5" customHeight="1">
      <c r="A14" s="354"/>
      <c r="B14" s="2"/>
      <c r="C14" s="2"/>
      <c r="D14" s="2"/>
      <c r="E14" s="601" t="s">
        <v>7</v>
      </c>
      <c r="F14" s="601"/>
      <c r="G14" s="601"/>
      <c r="H14" s="601"/>
      <c r="I14" s="601"/>
      <c r="J14" s="601"/>
      <c r="K14" s="601"/>
      <c r="L14" s="601"/>
      <c r="M14" s="611" t="s">
        <v>8</v>
      </c>
      <c r="N14" s="611"/>
      <c r="O14" s="611"/>
      <c r="P14" s="610">
        <f>Q175</f>
        <v>44196</v>
      </c>
      <c r="Q14" s="610"/>
      <c r="R14" s="610"/>
      <c r="S14" s="338"/>
      <c r="T14" s="619" t="str">
        <f>T125</f>
        <v>martedì</v>
      </c>
      <c r="U14" s="620"/>
      <c r="V14" s="620"/>
      <c r="W14" s="621"/>
      <c r="X14" s="612">
        <v>43858</v>
      </c>
      <c r="Y14" s="613"/>
      <c r="Z14" s="613"/>
      <c r="AA14" s="613"/>
      <c r="AB14" s="614"/>
      <c r="AC14" s="340">
        <f>T124</f>
        <v>2</v>
      </c>
      <c r="AD14" s="273"/>
      <c r="AE14" s="3"/>
      <c r="AF14" s="451">
        <f>IF(AF13="","",IF(AS107=1500,DA314,CZ314))</f>
      </c>
      <c r="AG14" s="451"/>
      <c r="AH14" s="451"/>
      <c r="AI14" s="451"/>
      <c r="AJ14" s="451"/>
      <c r="AK14" s="451"/>
      <c r="AL14" s="451"/>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353"/>
      <c r="BQ14" s="353"/>
      <c r="BR14" s="353"/>
      <c r="BS14" s="353"/>
      <c r="BT14" s="358"/>
      <c r="BU14"/>
      <c r="BV14" s="4"/>
      <c r="GQ14" s="10"/>
      <c r="HX14" s="10"/>
    </row>
    <row r="15" spans="1:232" s="5" customFormat="1" ht="14.25" customHeight="1">
      <c r="A15" s="354"/>
      <c r="B15" s="2"/>
      <c r="C15" s="2"/>
      <c r="D15" s="2"/>
      <c r="E15" s="181"/>
      <c r="F15" s="181"/>
      <c r="G15" s="181"/>
      <c r="H15" s="181"/>
      <c r="I15" s="181"/>
      <c r="J15" s="181"/>
      <c r="K15" s="181"/>
      <c r="L15" s="181"/>
      <c r="M15" s="181"/>
      <c r="N15" s="181"/>
      <c r="O15" s="181"/>
      <c r="P15" s="181"/>
      <c r="Q15" s="181"/>
      <c r="R15" s="181"/>
      <c r="S15" s="181"/>
      <c r="T15" s="339"/>
      <c r="U15" s="339"/>
      <c r="V15" s="339"/>
      <c r="W15" s="339"/>
      <c r="X15" s="339"/>
      <c r="Y15" s="339"/>
      <c r="Z15" s="343"/>
      <c r="AA15" s="344">
        <f>IF(X13&gt;=X14,"ATTENZIONE !!! DATA DELL'OMESSO VERSAMENTO PIÙ RECENTE DELLA DATA DEL RAVVEDIMENTO",IF(BA108=99,"Data del ravvedimento oltre un anno dall'omesso versamento.  Vuoi effettuare comunque il calcolo?",IF(BA108&gt;90,"Data del ravvedimento oltre la scadenza della rata successiva.  Vuoi effettuare comunque il calcolo?","")))</f>
      </c>
      <c r="AB15" s="276" t="s">
        <v>9</v>
      </c>
      <c r="AC15" s="340"/>
      <c r="AD15" s="273"/>
      <c r="AE15" s="3"/>
      <c r="AF15" s="451"/>
      <c r="AG15" s="451"/>
      <c r="AH15" s="451"/>
      <c r="AI15" s="451"/>
      <c r="AJ15" s="451"/>
      <c r="AK15" s="451"/>
      <c r="AL15" s="451"/>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353"/>
      <c r="BQ15" s="353"/>
      <c r="BR15" s="353"/>
      <c r="BS15" s="353"/>
      <c r="BT15" s="358"/>
      <c r="BU15"/>
      <c r="BV15" s="4"/>
      <c r="GQ15" s="10"/>
      <c r="HX15" s="10"/>
    </row>
    <row r="16" spans="1:232" s="5" customFormat="1" ht="12.75">
      <c r="A16" s="354"/>
      <c r="B16" s="2"/>
      <c r="C16" s="2"/>
      <c r="D16" s="2"/>
      <c r="E16" s="618" t="s">
        <v>10</v>
      </c>
      <c r="F16" s="618"/>
      <c r="G16" s="618"/>
      <c r="H16" s="618"/>
      <c r="I16" s="618"/>
      <c r="J16" s="618"/>
      <c r="K16" s="618"/>
      <c r="L16" s="618"/>
      <c r="M16" s="618"/>
      <c r="N16" s="618"/>
      <c r="O16" s="618"/>
      <c r="P16" s="618"/>
      <c r="Q16" s="618"/>
      <c r="R16" s="618"/>
      <c r="S16" s="618"/>
      <c r="T16" s="618"/>
      <c r="U16" s="618"/>
      <c r="V16" s="618"/>
      <c r="W16" s="2"/>
      <c r="X16" s="615" t="str">
        <f>IF(OR(X13="",X14="",X13&gt;=X14,D421=0,D422=0,C421=0,AC15=1),"----------",MAX((X14-X13)*C421,0))</f>
        <v>----------</v>
      </c>
      <c r="Y16" s="616"/>
      <c r="Z16" s="616"/>
      <c r="AA16" s="616"/>
      <c r="AB16" s="617"/>
      <c r="AC16" s="340">
        <f>IF(X16="----------",1,0)</f>
        <v>1</v>
      </c>
      <c r="AD16" s="273"/>
      <c r="AE16" s="3"/>
      <c r="AF16" s="451"/>
      <c r="AG16" s="451"/>
      <c r="AH16" s="451"/>
      <c r="AI16" s="451"/>
      <c r="AJ16" s="451"/>
      <c r="AK16" s="451"/>
      <c r="AL16" s="451"/>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353"/>
      <c r="BQ16" s="353"/>
      <c r="BR16" s="353"/>
      <c r="BS16" s="353"/>
      <c r="BT16" s="358"/>
      <c r="BU16"/>
      <c r="BV16" s="4"/>
      <c r="GQ16" s="10"/>
      <c r="HX16" s="10"/>
    </row>
    <row r="17" spans="1:232" s="5" customFormat="1" ht="12.75">
      <c r="A17" s="354"/>
      <c r="B17" s="2"/>
      <c r="C17" s="2"/>
      <c r="D17" s="2"/>
      <c r="E17" s="618" t="s">
        <v>11</v>
      </c>
      <c r="F17" s="618"/>
      <c r="G17" s="618"/>
      <c r="H17" s="618"/>
      <c r="I17" s="618"/>
      <c r="J17" s="618"/>
      <c r="K17" s="618"/>
      <c r="L17" s="618"/>
      <c r="M17" s="618"/>
      <c r="N17" s="618"/>
      <c r="O17" s="618"/>
      <c r="P17" s="618"/>
      <c r="Q17" s="618"/>
      <c r="R17" s="618"/>
      <c r="S17" s="618"/>
      <c r="T17" s="618"/>
      <c r="U17" s="618"/>
      <c r="V17" s="618"/>
      <c r="W17" s="2"/>
      <c r="X17" s="622" t="str">
        <f>IF(AC16=1,X16,IF(X11-X12&lt;0.01,"----------",IF(BH154&gt;0,"----------",IF(ED106=1507,0,(X11-X12)*C421))))</f>
        <v>----------</v>
      </c>
      <c r="Y17" s="623"/>
      <c r="Z17" s="623"/>
      <c r="AA17" s="623"/>
      <c r="AB17" s="624"/>
      <c r="AC17" s="340">
        <f>IF(X17="----------",1,IF(C421=0,2,0))</f>
        <v>1</v>
      </c>
      <c r="AD17" s="273"/>
      <c r="AE17" s="3"/>
      <c r="AF17" s="451"/>
      <c r="AG17" s="451"/>
      <c r="AH17" s="451"/>
      <c r="AI17" s="451"/>
      <c r="AJ17" s="451"/>
      <c r="AK17" s="451"/>
      <c r="AL17" s="451"/>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353"/>
      <c r="BQ17" s="353"/>
      <c r="BR17" s="353"/>
      <c r="BS17" s="353"/>
      <c r="BT17" s="358"/>
      <c r="BU17"/>
      <c r="BV17" s="4"/>
      <c r="GQ17" s="10"/>
      <c r="HX17" s="10"/>
    </row>
    <row r="18" spans="1:232" s="5" customFormat="1" ht="12.75">
      <c r="A18" s="354"/>
      <c r="B18" s="2"/>
      <c r="C18" s="2"/>
      <c r="D18" s="2"/>
      <c r="E18" s="618" t="s">
        <v>12</v>
      </c>
      <c r="F18" s="618"/>
      <c r="G18" s="618"/>
      <c r="H18" s="618"/>
      <c r="I18" s="490">
        <f>IF(X14&gt;P14,"",AS154)</f>
      </c>
      <c r="J18" s="490"/>
      <c r="K18" s="490"/>
      <c r="L18" s="490"/>
      <c r="M18" s="490"/>
      <c r="N18" s="490"/>
      <c r="O18" s="490"/>
      <c r="P18" s="490"/>
      <c r="Q18" s="490"/>
      <c r="R18" s="490"/>
      <c r="S18" s="490"/>
      <c r="T18" s="490"/>
      <c r="U18" s="490"/>
      <c r="V18" s="490"/>
      <c r="W18" s="2"/>
      <c r="X18" s="622" t="str">
        <f>IF(AC17=1,X17,ROUND(AN154,2))</f>
        <v>----------</v>
      </c>
      <c r="Y18" s="623"/>
      <c r="Z18" s="623"/>
      <c r="AA18" s="623"/>
      <c r="AB18" s="624"/>
      <c r="AC18" s="341"/>
      <c r="AD18" s="273"/>
      <c r="AE18" s="3"/>
      <c r="AF18" s="451"/>
      <c r="AG18" s="451"/>
      <c r="AH18" s="451"/>
      <c r="AI18" s="451"/>
      <c r="AJ18" s="451"/>
      <c r="AK18" s="451"/>
      <c r="AL18" s="451"/>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353"/>
      <c r="BQ18" s="353"/>
      <c r="BR18" s="353"/>
      <c r="BS18" s="353"/>
      <c r="BT18" s="358"/>
      <c r="BU18"/>
      <c r="BV18" s="4"/>
      <c r="GQ18" s="10"/>
      <c r="HX18" s="10"/>
    </row>
    <row r="19" spans="1:232" s="5" customFormat="1" ht="12.75">
      <c r="A19" s="354"/>
      <c r="B19" s="2"/>
      <c r="C19" s="2"/>
      <c r="D19" s="2"/>
      <c r="E19" s="618" t="s">
        <v>13</v>
      </c>
      <c r="F19" s="618"/>
      <c r="G19" s="618"/>
      <c r="H19" s="618"/>
      <c r="I19" s="618"/>
      <c r="J19" s="618"/>
      <c r="K19" s="618"/>
      <c r="L19" s="618"/>
      <c r="M19" s="618"/>
      <c r="N19" s="618"/>
      <c r="O19" s="618"/>
      <c r="P19" s="618"/>
      <c r="Q19" s="618"/>
      <c r="R19" s="618"/>
      <c r="S19" s="618"/>
      <c r="T19" s="618"/>
      <c r="U19" s="618"/>
      <c r="V19" s="618"/>
      <c r="W19" s="2"/>
      <c r="X19" s="622" t="str">
        <f>IF(AC17=1,X17,ROUND(AN174,2))</f>
        <v>----------</v>
      </c>
      <c r="Y19" s="623"/>
      <c r="Z19" s="623"/>
      <c r="AA19" s="623"/>
      <c r="AB19" s="624"/>
      <c r="AC19" s="341"/>
      <c r="AD19" s="273"/>
      <c r="AE19" s="3"/>
      <c r="AF19" s="451"/>
      <c r="AG19" s="451"/>
      <c r="AH19" s="451"/>
      <c r="AI19" s="451"/>
      <c r="AJ19" s="451"/>
      <c r="AK19" s="451"/>
      <c r="AL19" s="451"/>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353"/>
      <c r="BQ19" s="353"/>
      <c r="BR19" s="353"/>
      <c r="BS19" s="353"/>
      <c r="BT19" s="358"/>
      <c r="BU19"/>
      <c r="BV19" s="4"/>
      <c r="GQ19" s="10"/>
      <c r="HX19" s="10"/>
    </row>
    <row r="20" spans="1:232" s="5" customFormat="1" ht="15.75" customHeight="1">
      <c r="A20" s="354"/>
      <c r="B20" s="2"/>
      <c r="C20" s="2"/>
      <c r="D20" s="181"/>
      <c r="E20" s="638">
        <f>AS155</f>
      </c>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342"/>
      <c r="AD20" s="273"/>
      <c r="AE20" s="3"/>
      <c r="AF20" s="451"/>
      <c r="AG20" s="451"/>
      <c r="AH20" s="451"/>
      <c r="AI20" s="451"/>
      <c r="AJ20" s="451"/>
      <c r="AK20" s="451"/>
      <c r="AL20" s="451"/>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353"/>
      <c r="BQ20" s="353"/>
      <c r="BR20" s="353"/>
      <c r="BS20" s="353"/>
      <c r="BT20" s="358"/>
      <c r="BU20"/>
      <c r="BV20" s="4"/>
      <c r="GQ20" s="10"/>
      <c r="HX20" s="10"/>
    </row>
    <row r="21" spans="1:232" s="5" customFormat="1" ht="15.75" customHeight="1">
      <c r="A21" s="354"/>
      <c r="B21" s="2"/>
      <c r="C21" s="2"/>
      <c r="D21" s="181"/>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342"/>
      <c r="AD21" s="273"/>
      <c r="AE21" s="3"/>
      <c r="AF21" s="451"/>
      <c r="AG21" s="451"/>
      <c r="AH21" s="451"/>
      <c r="AI21" s="451"/>
      <c r="AJ21" s="451"/>
      <c r="AK21" s="451"/>
      <c r="AL21" s="451"/>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353"/>
      <c r="BQ21" s="353"/>
      <c r="BR21" s="353"/>
      <c r="BS21" s="353"/>
      <c r="BT21" s="358"/>
      <c r="BU21"/>
      <c r="BV21" s="4"/>
      <c r="GQ21" s="10"/>
      <c r="HX21" s="10"/>
    </row>
    <row r="22" spans="1:232" s="5" customFormat="1" ht="15.75" customHeight="1">
      <c r="A22" s="354"/>
      <c r="B22" s="2"/>
      <c r="C22" s="2"/>
      <c r="D22" s="181"/>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342"/>
      <c r="AD22" s="273"/>
      <c r="AE22" s="3"/>
      <c r="AF22" s="451"/>
      <c r="AG22" s="451"/>
      <c r="AH22" s="451"/>
      <c r="AI22" s="451"/>
      <c r="AJ22" s="451"/>
      <c r="AK22" s="451"/>
      <c r="AL22" s="451"/>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353"/>
      <c r="BQ22" s="353"/>
      <c r="BR22" s="353"/>
      <c r="BS22" s="353"/>
      <c r="BT22" s="358"/>
      <c r="BU22"/>
      <c r="BV22" s="4"/>
      <c r="GQ22" s="10"/>
      <c r="HX22" s="10"/>
    </row>
    <row r="23" spans="1:232" s="5" customFormat="1" ht="18" customHeight="1">
      <c r="A23" s="354"/>
      <c r="B23" s="2"/>
      <c r="C23" s="2"/>
      <c r="D23" s="181"/>
      <c r="E23" s="712">
        <f>CONCATENATE(AV153,BI153)</f>
      </c>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342"/>
      <c r="AD23" s="273"/>
      <c r="AE23" s="3"/>
      <c r="AF23" s="451"/>
      <c r="AG23" s="451"/>
      <c r="AH23" s="451"/>
      <c r="AI23" s="451"/>
      <c r="AJ23" s="451"/>
      <c r="AK23" s="451"/>
      <c r="AL23" s="451"/>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353"/>
      <c r="BQ23" s="353"/>
      <c r="BR23" s="353"/>
      <c r="BS23" s="353"/>
      <c r="BT23" s="358"/>
      <c r="BU23"/>
      <c r="BV23" s="4"/>
      <c r="GQ23" s="10"/>
      <c r="HX23" s="10"/>
    </row>
    <row r="24" spans="1:255" s="5" customFormat="1" ht="12.75">
      <c r="A24" s="354"/>
      <c r="B24" s="2"/>
      <c r="C24" s="2"/>
      <c r="D24" s="1"/>
      <c r="E24" s="1"/>
      <c r="F24" s="1"/>
      <c r="G24" s="1"/>
      <c r="H24" s="1"/>
      <c r="I24" s="1"/>
      <c r="J24" s="1"/>
      <c r="K24" s="1"/>
      <c r="L24" s="1"/>
      <c r="M24" s="1"/>
      <c r="N24" s="1"/>
      <c r="O24" s="1"/>
      <c r="P24" s="1"/>
      <c r="Q24" s="1"/>
      <c r="R24" s="1"/>
      <c r="S24" s="1"/>
      <c r="T24" s="1"/>
      <c r="U24" s="1"/>
      <c r="V24" s="1"/>
      <c r="W24" s="1"/>
      <c r="X24" s="1"/>
      <c r="Y24" s="1"/>
      <c r="Z24" s="1"/>
      <c r="AA24" s="1"/>
      <c r="AB24" s="1"/>
      <c r="AC24" s="1"/>
      <c r="AD24" s="100"/>
      <c r="AE24" s="3"/>
      <c r="AF24" s="451"/>
      <c r="AG24" s="451"/>
      <c r="AH24" s="451"/>
      <c r="AI24" s="451"/>
      <c r="AJ24" s="451"/>
      <c r="AK24" s="451"/>
      <c r="AL24" s="451"/>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353"/>
      <c r="BQ24" s="353"/>
      <c r="BR24" s="353"/>
      <c r="BS24" s="353"/>
      <c r="BT24" s="358"/>
      <c r="BU24"/>
      <c r="BV24" s="4"/>
      <c r="GQ24" s="10"/>
      <c r="HX24" s="10"/>
      <c r="HY24" s="10" t="s">
        <v>14</v>
      </c>
      <c r="HZ24" s="10"/>
      <c r="IA24" s="10"/>
      <c r="IB24" s="10"/>
      <c r="IC24" s="10"/>
      <c r="ID24" s="10"/>
      <c r="IE24" s="10"/>
      <c r="IF24" s="10"/>
      <c r="IG24" s="10"/>
      <c r="IH24" s="10"/>
      <c r="II24" s="10"/>
      <c r="IJ24" s="10"/>
      <c r="IK24" s="10"/>
      <c r="IL24" s="10"/>
      <c r="IM24" s="10"/>
      <c r="IN24" s="10"/>
      <c r="IO24" s="10"/>
      <c r="IP24" s="10"/>
      <c r="IQ24" s="10"/>
      <c r="IR24" s="10"/>
      <c r="IS24" s="10"/>
      <c r="IT24" s="10"/>
      <c r="IU24" s="10"/>
    </row>
    <row r="25" spans="1:255" s="5" customFormat="1" ht="12.75" customHeight="1">
      <c r="A25" s="354"/>
      <c r="B25" s="2"/>
      <c r="C25" s="2"/>
      <c r="D25" s="1"/>
      <c r="E25" s="632" t="str">
        <f>IF(X26=1,"F23",IF(X26=21,"F24 &amp; F23","F24"))</f>
        <v>F24</v>
      </c>
      <c r="F25" s="633"/>
      <c r="G25" s="633"/>
      <c r="H25" s="633"/>
      <c r="I25" s="633"/>
      <c r="J25" s="633"/>
      <c r="K25" s="630" t="s">
        <v>15</v>
      </c>
      <c r="L25" s="630"/>
      <c r="M25" s="630"/>
      <c r="N25" s="630"/>
      <c r="O25" s="630"/>
      <c r="P25" s="630"/>
      <c r="Q25" s="630"/>
      <c r="R25" s="630"/>
      <c r="S25" s="630"/>
      <c r="T25" s="630"/>
      <c r="U25" s="630"/>
      <c r="V25" s="630"/>
      <c r="W25" s="630"/>
      <c r="X25" s="646"/>
      <c r="Y25" s="646"/>
      <c r="Z25" s="636"/>
      <c r="AA25" s="636"/>
      <c r="AB25" s="637"/>
      <c r="AC25" s="1"/>
      <c r="AD25" s="100"/>
      <c r="AE25" s="3"/>
      <c r="AF25" s="451"/>
      <c r="AG25" s="451"/>
      <c r="AH25" s="451"/>
      <c r="AI25" s="451"/>
      <c r="AJ25" s="451"/>
      <c r="AK25" s="451"/>
      <c r="AL25" s="451"/>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353"/>
      <c r="BQ25" s="353"/>
      <c r="BR25" s="353"/>
      <c r="BS25" s="353"/>
      <c r="BT25" s="358"/>
      <c r="BU25"/>
      <c r="BV25" s="4"/>
      <c r="GQ25" s="10"/>
      <c r="HX25" s="10"/>
      <c r="HY25" s="10" t="s">
        <v>14</v>
      </c>
      <c r="HZ25" s="10"/>
      <c r="IA25" s="10"/>
      <c r="IB25" s="10"/>
      <c r="IC25" s="10"/>
      <c r="ID25" s="10"/>
      <c r="IE25" s="10"/>
      <c r="IF25" s="10"/>
      <c r="IG25" s="10"/>
      <c r="IH25" s="10"/>
      <c r="II25" s="10"/>
      <c r="IJ25" s="10"/>
      <c r="IK25" s="10"/>
      <c r="IL25" s="10"/>
      <c r="IM25" s="10"/>
      <c r="IN25" s="10"/>
      <c r="IO25" s="10"/>
      <c r="IP25" s="10"/>
      <c r="IQ25" s="10"/>
      <c r="IR25" s="10"/>
      <c r="IS25" s="10"/>
      <c r="IT25" s="10"/>
      <c r="IU25" s="10"/>
    </row>
    <row r="26" spans="1:255" s="5" customFormat="1" ht="12.75" customHeight="1">
      <c r="A26" s="354"/>
      <c r="B26" s="2"/>
      <c r="C26" s="2"/>
      <c r="D26" s="1"/>
      <c r="E26" s="634"/>
      <c r="F26" s="635"/>
      <c r="G26" s="635"/>
      <c r="H26" s="635"/>
      <c r="I26" s="635"/>
      <c r="J26" s="635"/>
      <c r="K26" s="631"/>
      <c r="L26" s="631"/>
      <c r="M26" s="631"/>
      <c r="N26" s="631"/>
      <c r="O26" s="631"/>
      <c r="P26" s="631"/>
      <c r="Q26" s="631"/>
      <c r="R26" s="631"/>
      <c r="S26" s="631"/>
      <c r="T26" s="631"/>
      <c r="U26" s="631"/>
      <c r="V26" s="631"/>
      <c r="W26" s="631"/>
      <c r="X26" s="643">
        <f>AW107</f>
        <v>0</v>
      </c>
      <c r="Y26" s="643"/>
      <c r="Z26" s="643"/>
      <c r="AA26" s="643"/>
      <c r="AB26" s="644"/>
      <c r="AC26" s="1"/>
      <c r="AD26" s="100"/>
      <c r="AE26" s="3"/>
      <c r="AF26" s="451"/>
      <c r="AG26" s="451"/>
      <c r="AH26" s="451"/>
      <c r="AI26" s="451"/>
      <c r="AJ26" s="451"/>
      <c r="AK26" s="451"/>
      <c r="AL26" s="451"/>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353"/>
      <c r="BQ26" s="353"/>
      <c r="BR26" s="353"/>
      <c r="BS26" s="353"/>
      <c r="BT26" s="358"/>
      <c r="BU26"/>
      <c r="BV26" s="4"/>
      <c r="GQ26" s="10"/>
      <c r="HX26" s="10"/>
      <c r="HY26" s="10" t="s">
        <v>14</v>
      </c>
      <c r="HZ26" s="10"/>
      <c r="IA26" s="10"/>
      <c r="IB26" s="10"/>
      <c r="IC26" s="10"/>
      <c r="ID26" s="10"/>
      <c r="IE26" s="10"/>
      <c r="IF26" s="10"/>
      <c r="IG26" s="10"/>
      <c r="IH26" s="10"/>
      <c r="II26" s="10"/>
      <c r="IJ26" s="10"/>
      <c r="IK26" s="10"/>
      <c r="IL26" s="10"/>
      <c r="IM26" s="10"/>
      <c r="IN26" s="10"/>
      <c r="IO26" s="10"/>
      <c r="IP26" s="10"/>
      <c r="IQ26" s="10"/>
      <c r="IR26" s="10"/>
      <c r="IS26" s="10"/>
      <c r="IT26" s="10"/>
      <c r="IU26" s="10"/>
    </row>
    <row r="27" spans="1:255" s="5" customFormat="1" ht="10.5" customHeight="1">
      <c r="A27" s="354"/>
      <c r="B27" s="2"/>
      <c r="C27" s="2"/>
      <c r="D27" s="1"/>
      <c r="E27" s="628" t="str">
        <f>IF(X26=11,"con elementi identificativi"," ")</f>
        <v> </v>
      </c>
      <c r="F27" s="629"/>
      <c r="G27" s="629"/>
      <c r="H27" s="629"/>
      <c r="I27" s="629"/>
      <c r="J27" s="629"/>
      <c r="K27" s="15"/>
      <c r="L27" s="15"/>
      <c r="M27" s="15"/>
      <c r="N27" s="15"/>
      <c r="O27" s="15"/>
      <c r="P27" s="15"/>
      <c r="Q27" s="15"/>
      <c r="R27" s="15"/>
      <c r="S27" s="15"/>
      <c r="T27" s="15"/>
      <c r="U27" s="15"/>
      <c r="V27" s="15"/>
      <c r="W27" s="15"/>
      <c r="X27" s="15"/>
      <c r="Y27" s="15"/>
      <c r="Z27" s="15"/>
      <c r="AA27" s="15"/>
      <c r="AB27" s="13"/>
      <c r="AC27" s="1"/>
      <c r="AD27" s="100"/>
      <c r="AE27" s="3"/>
      <c r="AF27" s="451"/>
      <c r="AG27" s="451"/>
      <c r="AH27" s="451"/>
      <c r="AI27" s="451"/>
      <c r="AJ27" s="451"/>
      <c r="AK27" s="451"/>
      <c r="AL27" s="451"/>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353"/>
      <c r="BQ27" s="353"/>
      <c r="BR27" s="353"/>
      <c r="BS27" s="353"/>
      <c r="BT27" s="358"/>
      <c r="BU27"/>
      <c r="BV27" s="4"/>
      <c r="GQ27" s="10"/>
      <c r="HX27" s="10"/>
      <c r="HY27" s="10" t="s">
        <v>14</v>
      </c>
      <c r="HZ27" s="10"/>
      <c r="IA27" s="10"/>
      <c r="IB27" s="10"/>
      <c r="IC27" s="10"/>
      <c r="ID27" s="10"/>
      <c r="IE27" s="10"/>
      <c r="IF27" s="10"/>
      <c r="IG27" s="10"/>
      <c r="IH27" s="10"/>
      <c r="II27" s="10"/>
      <c r="IJ27" s="10"/>
      <c r="IK27" s="10"/>
      <c r="IL27" s="10"/>
      <c r="IM27" s="10"/>
      <c r="IN27" s="10"/>
      <c r="IO27" s="10"/>
      <c r="IP27" s="10"/>
      <c r="IQ27" s="10"/>
      <c r="IR27" s="10"/>
      <c r="IS27" s="10"/>
      <c r="IT27" s="10"/>
      <c r="IU27" s="10"/>
    </row>
    <row r="28" spans="1:255" s="5" customFormat="1" ht="12.75">
      <c r="A28" s="354"/>
      <c r="B28" s="2"/>
      <c r="C28" s="2"/>
      <c r="D28" s="1"/>
      <c r="E28" s="625" t="str">
        <f>IF(E5=""," ",E5)</f>
        <v> </v>
      </c>
      <c r="F28" s="626"/>
      <c r="G28" s="626"/>
      <c r="H28" s="626"/>
      <c r="I28" s="626"/>
      <c r="J28" s="626"/>
      <c r="K28" s="626"/>
      <c r="L28" s="626"/>
      <c r="M28" s="626"/>
      <c r="N28" s="626"/>
      <c r="O28" s="626"/>
      <c r="P28" s="626"/>
      <c r="Q28" s="626"/>
      <c r="R28" s="626"/>
      <c r="S28" s="626"/>
      <c r="T28" s="626"/>
      <c r="U28" s="626"/>
      <c r="V28" s="626"/>
      <c r="W28" s="626"/>
      <c r="X28" s="626"/>
      <c r="Y28" s="626"/>
      <c r="Z28" s="626"/>
      <c r="AA28" s="626"/>
      <c r="AB28" s="627"/>
      <c r="AC28" s="1"/>
      <c r="AD28" s="100"/>
      <c r="AE28" s="3"/>
      <c r="AF28" s="451"/>
      <c r="AG28" s="451"/>
      <c r="AH28" s="451"/>
      <c r="AI28" s="451"/>
      <c r="AJ28" s="451"/>
      <c r="AK28" s="451"/>
      <c r="AL28" s="451"/>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353"/>
      <c r="BQ28" s="353"/>
      <c r="BR28" s="353"/>
      <c r="BS28" s="353"/>
      <c r="BT28" s="358"/>
      <c r="BU28"/>
      <c r="BV28" s="4"/>
      <c r="GQ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row>
    <row r="29" spans="1:255" s="5" customFormat="1" ht="12.75">
      <c r="A29" s="354"/>
      <c r="B29" s="2"/>
      <c r="C29" s="2"/>
      <c r="D29" s="1"/>
      <c r="E29" s="625" t="str">
        <f>IF(LEFT(N9,1)="-"," ",IF(N9=" "," ",RIGHT(N9,LEN(N9)-7)))</f>
        <v> </v>
      </c>
      <c r="F29" s="626"/>
      <c r="G29" s="626"/>
      <c r="H29" s="626"/>
      <c r="I29" s="626"/>
      <c r="J29" s="626"/>
      <c r="K29" s="626"/>
      <c r="L29" s="626"/>
      <c r="M29" s="626"/>
      <c r="N29" s="626"/>
      <c r="O29" s="626"/>
      <c r="P29" s="626"/>
      <c r="Q29" s="626"/>
      <c r="R29" s="626"/>
      <c r="S29" s="626"/>
      <c r="T29" s="626"/>
      <c r="U29" s="626"/>
      <c r="V29" s="626"/>
      <c r="W29" s="626"/>
      <c r="X29" s="626"/>
      <c r="Y29" s="626"/>
      <c r="Z29" s="626"/>
      <c r="AA29" s="626"/>
      <c r="AB29" s="627"/>
      <c r="AC29" s="1"/>
      <c r="AD29" s="100"/>
      <c r="AE29" s="3"/>
      <c r="AF29" s="451">
        <f>IF(AF13="","",DB314)</f>
      </c>
      <c r="AG29" s="451"/>
      <c r="AH29" s="451"/>
      <c r="AI29" s="451"/>
      <c r="AJ29" s="451"/>
      <c r="AK29" s="451"/>
      <c r="AL29" s="451"/>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353"/>
      <c r="BQ29" s="353"/>
      <c r="BR29" s="353"/>
      <c r="BS29" s="353"/>
      <c r="BT29" s="358"/>
      <c r="BU29"/>
      <c r="BV29" s="4"/>
      <c r="GQ29" s="10"/>
      <c r="HX29" s="10"/>
      <c r="HY29" s="10" t="s">
        <v>14</v>
      </c>
      <c r="HZ29" s="10"/>
      <c r="IA29" s="10"/>
      <c r="IB29" s="10"/>
      <c r="IC29" s="10"/>
      <c r="ID29" s="10"/>
      <c r="IE29" s="10"/>
      <c r="IF29" s="10"/>
      <c r="IG29" s="10"/>
      <c r="IH29" s="10"/>
      <c r="II29" s="10"/>
      <c r="IJ29" s="10"/>
      <c r="IK29" s="10"/>
      <c r="IL29" s="10"/>
      <c r="IM29" s="10"/>
      <c r="IN29" s="10"/>
      <c r="IO29" s="10"/>
      <c r="IP29" s="10"/>
      <c r="IQ29" s="10"/>
      <c r="IR29" s="10"/>
      <c r="IS29" s="10"/>
      <c r="IT29" s="10"/>
      <c r="IU29" s="10"/>
    </row>
    <row r="30" spans="1:255" s="5" customFormat="1" ht="13.5" customHeight="1">
      <c r="A30" s="354"/>
      <c r="B30" s="2"/>
      <c r="C30" s="2"/>
      <c r="D30" s="1"/>
      <c r="E30" s="645"/>
      <c r="F30" s="641"/>
      <c r="G30" s="641"/>
      <c r="H30" s="641"/>
      <c r="I30" s="641"/>
      <c r="J30" s="639">
        <f>IF(N30="----------","","di euro    ")</f>
      </c>
      <c r="K30" s="639"/>
      <c r="L30" s="639"/>
      <c r="M30" s="639"/>
      <c r="N30" s="640" t="str">
        <f>X17</f>
        <v>----------</v>
      </c>
      <c r="O30" s="640"/>
      <c r="P30" s="640"/>
      <c r="Q30" s="640"/>
      <c r="R30" s="640"/>
      <c r="S30" s="640"/>
      <c r="T30" s="641"/>
      <c r="U30" s="641"/>
      <c r="V30" s="641"/>
      <c r="W30" s="641"/>
      <c r="X30" s="641"/>
      <c r="Y30" s="641"/>
      <c r="Z30" s="641"/>
      <c r="AA30" s="641"/>
      <c r="AB30" s="642"/>
      <c r="AC30" s="1"/>
      <c r="AD30" s="100"/>
      <c r="AE30" s="3"/>
      <c r="AF30" s="451"/>
      <c r="AG30" s="451"/>
      <c r="AH30" s="451"/>
      <c r="AI30" s="451"/>
      <c r="AJ30" s="451"/>
      <c r="AK30" s="451"/>
      <c r="AL30" s="451"/>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353"/>
      <c r="BQ30" s="353"/>
      <c r="BR30" s="353"/>
      <c r="BS30" s="353"/>
      <c r="BT30" s="358"/>
      <c r="BU30"/>
      <c r="BV30" s="4"/>
      <c r="GQ30" s="10"/>
      <c r="HX30" s="10"/>
      <c r="HY30" s="10" t="s">
        <v>14</v>
      </c>
      <c r="HZ30" s="10"/>
      <c r="IA30" s="10"/>
      <c r="IB30" s="10"/>
      <c r="IC30" s="10"/>
      <c r="ID30" s="10"/>
      <c r="IE30" s="10"/>
      <c r="IF30" s="10"/>
      <c r="IG30" s="10"/>
      <c r="IH30" s="10"/>
      <c r="II30" s="10"/>
      <c r="IJ30" s="10"/>
      <c r="IK30" s="10"/>
      <c r="IL30" s="10"/>
      <c r="IM30" s="10"/>
      <c r="IN30" s="10"/>
      <c r="IO30" s="10"/>
      <c r="IP30" s="10"/>
      <c r="IQ30" s="10"/>
      <c r="IR30" s="10"/>
      <c r="IS30" s="10"/>
      <c r="IT30" s="10"/>
      <c r="IU30" s="10"/>
    </row>
    <row r="31" spans="1:255" s="5" customFormat="1" ht="12.75">
      <c r="A31" s="354"/>
      <c r="B31" s="2"/>
      <c r="C31" s="2"/>
      <c r="D31" s="1"/>
      <c r="E31" s="645"/>
      <c r="F31" s="641"/>
      <c r="G31" s="641"/>
      <c r="H31" s="641"/>
      <c r="I31" s="641"/>
      <c r="J31" s="639">
        <f>IF(N31="----------","","scaduto il    ")</f>
      </c>
      <c r="K31" s="639"/>
      <c r="L31" s="639"/>
      <c r="M31" s="639"/>
      <c r="N31" s="648" t="str">
        <f>IF(X14="","----------",IF(X13="","----------",X13))</f>
        <v>----------</v>
      </c>
      <c r="O31" s="648"/>
      <c r="P31" s="648"/>
      <c r="Q31" s="648"/>
      <c r="R31" s="648"/>
      <c r="S31" s="648"/>
      <c r="T31" s="641"/>
      <c r="U31" s="641"/>
      <c r="V31" s="641"/>
      <c r="W31" s="641"/>
      <c r="X31" s="641"/>
      <c r="Y31" s="641"/>
      <c r="Z31" s="641"/>
      <c r="AA31" s="641"/>
      <c r="AB31" s="642"/>
      <c r="AC31" s="1"/>
      <c r="AD31" s="100"/>
      <c r="AE31" s="3"/>
      <c r="AF31" s="451"/>
      <c r="AG31" s="451"/>
      <c r="AH31" s="451"/>
      <c r="AI31" s="451"/>
      <c r="AJ31" s="451"/>
      <c r="AK31" s="451"/>
      <c r="AL31" s="451"/>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353"/>
      <c r="BQ31" s="353"/>
      <c r="BR31" s="353"/>
      <c r="BS31" s="353"/>
      <c r="BT31" s="358"/>
      <c r="BU31"/>
      <c r="BV31" s="4"/>
      <c r="GQ31" s="10"/>
      <c r="HX31" s="10"/>
      <c r="HY31" s="10" t="s">
        <v>14</v>
      </c>
      <c r="HZ31" s="10"/>
      <c r="IA31" s="10"/>
      <c r="IB31" s="10"/>
      <c r="IC31" s="10"/>
      <c r="ID31" s="10"/>
      <c r="IE31" s="10"/>
      <c r="IF31" s="10"/>
      <c r="IG31" s="10"/>
      <c r="IH31" s="10"/>
      <c r="II31" s="10"/>
      <c r="IJ31" s="10"/>
      <c r="IK31" s="10"/>
      <c r="IL31" s="10"/>
      <c r="IM31" s="10"/>
      <c r="IN31" s="10"/>
      <c r="IO31" s="10"/>
      <c r="IP31" s="10"/>
      <c r="IQ31" s="10"/>
      <c r="IR31" s="10"/>
      <c r="IS31" s="10"/>
      <c r="IT31" s="10"/>
      <c r="IU31" s="10"/>
    </row>
    <row r="32" spans="1:255" s="5" customFormat="1" ht="12.75" customHeight="1">
      <c r="A32" s="354"/>
      <c r="B32" s="2"/>
      <c r="C32" s="2"/>
      <c r="D32" s="1"/>
      <c r="E32" s="645"/>
      <c r="F32" s="641"/>
      <c r="G32" s="641"/>
      <c r="H32" s="641"/>
      <c r="I32" s="641"/>
      <c r="J32" s="639">
        <f>IF(N32="----------","","versato il    ")</f>
      </c>
      <c r="K32" s="639"/>
      <c r="L32" s="639"/>
      <c r="M32" s="639"/>
      <c r="N32" s="648" t="str">
        <f>IF(X13="","----------",IF(X14="","----------",X14))</f>
        <v>----------</v>
      </c>
      <c r="O32" s="648"/>
      <c r="P32" s="648"/>
      <c r="Q32" s="648"/>
      <c r="R32" s="648"/>
      <c r="S32" s="648"/>
      <c r="T32" s="649">
        <f>IF(BA108&gt;90,"Attenzione: ravvedimento oltre i termini!","")</f>
      </c>
      <c r="U32" s="649"/>
      <c r="V32" s="649"/>
      <c r="W32" s="649"/>
      <c r="X32" s="649"/>
      <c r="Y32" s="649"/>
      <c r="Z32" s="649"/>
      <c r="AA32" s="649"/>
      <c r="AB32" s="650"/>
      <c r="AC32" s="1"/>
      <c r="AD32" s="100"/>
      <c r="AE32" s="3"/>
      <c r="AF32" s="451"/>
      <c r="AG32" s="451"/>
      <c r="AH32" s="451"/>
      <c r="AI32" s="451"/>
      <c r="AJ32" s="451"/>
      <c r="AK32" s="451"/>
      <c r="AL32" s="451"/>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353"/>
      <c r="BQ32" s="353"/>
      <c r="BR32" s="353"/>
      <c r="BS32" s="353"/>
      <c r="BT32" s="358"/>
      <c r="BU32"/>
      <c r="BV32" s="4"/>
      <c r="GQ32" s="10"/>
      <c r="HX32" s="10"/>
      <c r="HY32" s="10" t="s">
        <v>14</v>
      </c>
      <c r="HZ32" s="10"/>
      <c r="IA32" s="10"/>
      <c r="IB32" s="10"/>
      <c r="IC32" s="10"/>
      <c r="ID32" s="10"/>
      <c r="IE32" s="10"/>
      <c r="IF32" s="10"/>
      <c r="IG32" s="10"/>
      <c r="IH32" s="10"/>
      <c r="II32" s="10"/>
      <c r="IJ32" s="10"/>
      <c r="IK32" s="10"/>
      <c r="IL32" s="10"/>
      <c r="IM32" s="10"/>
      <c r="IN32" s="10"/>
      <c r="IO32" s="10"/>
      <c r="IP32" s="10"/>
      <c r="IQ32" s="10"/>
      <c r="IR32" s="10"/>
      <c r="IS32" s="10"/>
      <c r="IT32" s="10"/>
      <c r="IU32" s="10"/>
    </row>
    <row r="33" spans="1:255" s="5" customFormat="1" ht="12.75" customHeight="1">
      <c r="A33" s="354"/>
      <c r="B33" s="2"/>
      <c r="C33" s="2"/>
      <c r="D33" s="1"/>
      <c r="E33" s="437"/>
      <c r="F33" s="438"/>
      <c r="G33" s="438"/>
      <c r="H33" s="438"/>
      <c r="I33" s="438"/>
      <c r="J33" s="438"/>
      <c r="K33" s="438"/>
      <c r="L33" s="438"/>
      <c r="M33" s="438"/>
      <c r="N33" s="438"/>
      <c r="O33" s="438"/>
      <c r="P33" s="438"/>
      <c r="Q33" s="438"/>
      <c r="R33" s="438"/>
      <c r="S33" s="438"/>
      <c r="T33" s="438"/>
      <c r="U33" s="438"/>
      <c r="V33" s="438"/>
      <c r="W33" s="438"/>
      <c r="X33" s="438"/>
      <c r="Y33" s="438"/>
      <c r="Z33" s="438"/>
      <c r="AA33" s="438"/>
      <c r="AB33" s="439"/>
      <c r="AC33" s="1"/>
      <c r="AD33" s="100"/>
      <c r="AE33" s="3"/>
      <c r="AF33" s="451"/>
      <c r="AG33" s="451"/>
      <c r="AH33" s="451"/>
      <c r="AI33" s="451"/>
      <c r="AJ33" s="451"/>
      <c r="AK33" s="451"/>
      <c r="AL33" s="451"/>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353"/>
      <c r="BQ33" s="353"/>
      <c r="BR33" s="353"/>
      <c r="BS33" s="353"/>
      <c r="BT33" s="358"/>
      <c r="BU33"/>
      <c r="BV33" s="4"/>
      <c r="GQ33" s="10"/>
      <c r="HX33" s="10"/>
      <c r="HY33" s="10" t="s">
        <v>14</v>
      </c>
      <c r="HZ33" s="10"/>
      <c r="IA33" s="10"/>
      <c r="IB33" s="10"/>
      <c r="IC33" s="10"/>
      <c r="ID33" s="10"/>
      <c r="IE33" s="10"/>
      <c r="IF33" s="10"/>
      <c r="IG33" s="10"/>
      <c r="IH33" s="10"/>
      <c r="II33" s="10"/>
      <c r="IJ33" s="10"/>
      <c r="IK33" s="10"/>
      <c r="IL33" s="10"/>
      <c r="IM33" s="10"/>
      <c r="IN33" s="10"/>
      <c r="IO33" s="10"/>
      <c r="IP33" s="10"/>
      <c r="IQ33" s="10"/>
      <c r="IR33" s="10"/>
      <c r="IS33" s="10"/>
      <c r="IT33" s="10"/>
      <c r="IU33" s="10"/>
    </row>
    <row r="34" spans="1:255" s="5" customFormat="1" ht="12.75">
      <c r="A34" s="354"/>
      <c r="B34" s="2"/>
      <c r="C34" s="2"/>
      <c r="D34" s="1"/>
      <c r="E34" s="440" t="str">
        <f>IF(AW110=1,"DATI DEL VERSAMENTO",IF(AW110=2,"SEZIONE ERARIO",IF(AW110=4,"SEZIONE REGIONI",IF(AW110=5,"SEZIONE IMU E ALTRI TRIBUTI LOCALI",IF(AW110=11,"SEZIONE ERARIO ED ALTRO",IF(AW110=21,"F24 - SEZIONE ERARIO"," "))))))</f>
        <v> </v>
      </c>
      <c r="F34" s="441"/>
      <c r="G34" s="441"/>
      <c r="H34" s="441"/>
      <c r="I34" s="441"/>
      <c r="J34" s="441"/>
      <c r="K34" s="441"/>
      <c r="L34" s="441"/>
      <c r="M34" s="441"/>
      <c r="N34" s="441"/>
      <c r="O34" s="441"/>
      <c r="P34" s="441"/>
      <c r="Q34" s="441"/>
      <c r="R34" s="441"/>
      <c r="S34" s="441"/>
      <c r="T34" s="441"/>
      <c r="U34" s="441"/>
      <c r="V34" s="441"/>
      <c r="W34" s="441"/>
      <c r="X34" s="441"/>
      <c r="Y34" s="441"/>
      <c r="Z34" s="441"/>
      <c r="AA34" s="441"/>
      <c r="AB34" s="442"/>
      <c r="AC34" s="1"/>
      <c r="AD34" s="100"/>
      <c r="AE34" s="3"/>
      <c r="AF34" s="451"/>
      <c r="AG34" s="451"/>
      <c r="AH34" s="451"/>
      <c r="AI34" s="451"/>
      <c r="AJ34" s="451"/>
      <c r="AK34" s="451"/>
      <c r="AL34" s="451"/>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353"/>
      <c r="BQ34" s="353"/>
      <c r="BR34" s="353"/>
      <c r="BS34" s="353"/>
      <c r="BT34" s="358"/>
      <c r="BU34"/>
      <c r="BV34" s="4"/>
      <c r="GQ34" s="10"/>
      <c r="HX34" s="10"/>
      <c r="HY34" s="10" t="s">
        <v>14</v>
      </c>
      <c r="HZ34" s="10"/>
      <c r="IA34" s="10"/>
      <c r="IB34" s="10"/>
      <c r="IC34" s="10"/>
      <c r="ID34" s="10"/>
      <c r="IE34" s="10"/>
      <c r="IF34" s="10"/>
      <c r="IG34" s="10"/>
      <c r="IH34" s="10"/>
      <c r="II34" s="10"/>
      <c r="IJ34" s="10"/>
      <c r="IK34" s="10"/>
      <c r="IL34" s="10"/>
      <c r="IM34" s="10"/>
      <c r="IN34" s="10"/>
      <c r="IO34" s="10"/>
      <c r="IP34" s="10"/>
      <c r="IQ34" s="10"/>
      <c r="IR34" s="10"/>
      <c r="IS34" s="10"/>
      <c r="IT34" s="10"/>
      <c r="IU34" s="10"/>
    </row>
    <row r="35" spans="1:255" s="5" customFormat="1" ht="12.75">
      <c r="A35" s="354"/>
      <c r="B35" s="2"/>
      <c r="C35" s="2"/>
      <c r="D35" s="1"/>
      <c r="E35" s="11"/>
      <c r="F35" s="443" t="str">
        <f>IF(X26=11,"tipo","codice tributo")</f>
        <v>codice tributo</v>
      </c>
      <c r="G35" s="443"/>
      <c r="H35" s="443"/>
      <c r="I35" s="443"/>
      <c r="J35" s="12"/>
      <c r="K35" s="443" t="str">
        <f>IF(X26=1,"descrizione",IF(X26=11,"elem.identif.","rateazione"))</f>
        <v>rateazione</v>
      </c>
      <c r="L35" s="443"/>
      <c r="M35" s="443"/>
      <c r="N35" s="12"/>
      <c r="O35" s="443" t="str">
        <f>IF(X26=11,"codice","anno")</f>
        <v>anno</v>
      </c>
      <c r="P35" s="443"/>
      <c r="Q35" s="443"/>
      <c r="R35" s="12"/>
      <c r="S35" s="443" t="str">
        <f>IF(X26=11,"anno di riferim.","imp.a debito")</f>
        <v>imp.a debito</v>
      </c>
      <c r="T35" s="443"/>
      <c r="U35" s="443"/>
      <c r="V35" s="443"/>
      <c r="W35" s="12"/>
      <c r="X35" s="443" t="str">
        <f>IF(X26=1,"c.destinatario",IF(X26=11,"imp.a debito vers.","imp.a credito"))</f>
        <v>imp.a credito</v>
      </c>
      <c r="Y35" s="443"/>
      <c r="Z35" s="443"/>
      <c r="AA35" s="443"/>
      <c r="AB35" s="13"/>
      <c r="AC35" s="1"/>
      <c r="AD35" s="100"/>
      <c r="AE35" s="3"/>
      <c r="AF35" s="451"/>
      <c r="AG35" s="451"/>
      <c r="AH35" s="451"/>
      <c r="AI35" s="451"/>
      <c r="AJ35" s="451"/>
      <c r="AK35" s="451"/>
      <c r="AL35" s="451"/>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353"/>
      <c r="BQ35" s="353"/>
      <c r="BR35" s="353"/>
      <c r="BS35" s="353"/>
      <c r="BT35" s="358"/>
      <c r="BU35"/>
      <c r="BV35" s="4"/>
      <c r="GQ35" s="4"/>
      <c r="HX35" s="4"/>
      <c r="HY35" s="4" t="s">
        <v>14</v>
      </c>
      <c r="HZ35" s="4"/>
      <c r="IA35" s="4"/>
      <c r="IB35" s="4"/>
      <c r="IC35" s="4"/>
      <c r="ID35" s="4"/>
      <c r="IE35" s="4"/>
      <c r="IF35" s="4"/>
      <c r="IG35" s="4"/>
      <c r="IH35" s="4"/>
      <c r="II35" s="4"/>
      <c r="IJ35" s="4"/>
      <c r="IK35" s="4"/>
      <c r="IL35" s="4"/>
      <c r="IM35" s="4"/>
      <c r="IN35" s="4"/>
      <c r="IO35" s="4"/>
      <c r="IP35" s="4"/>
      <c r="IQ35" s="4"/>
      <c r="IR35" s="4"/>
      <c r="IS35" s="4"/>
      <c r="IT35" s="4"/>
      <c r="IU35" s="4"/>
    </row>
    <row r="36" spans="1:255" s="5" customFormat="1" ht="12.75">
      <c r="A36" s="354"/>
      <c r="B36" s="2"/>
      <c r="C36" s="2"/>
      <c r="D36" s="1"/>
      <c r="E36" s="14"/>
      <c r="F36" s="651" t="str">
        <f>IF(X26=11,"F",X36)</f>
        <v>TRIBUTO</v>
      </c>
      <c r="G36" s="651"/>
      <c r="H36" s="651"/>
      <c r="I36" s="651"/>
      <c r="J36" s="15"/>
      <c r="K36" s="88" t="str">
        <f>IF(X26=1,RIGHT(N9,LEN(N9)-7),IF(F36="","",IF(LEFT(F36,2)="89",AO121,IF(LEFT(F36,2)="19",AO123,IF(X26=11,AO119,AO119)))))</f>
        <v>                                         </v>
      </c>
      <c r="L36" s="16"/>
      <c r="M36" s="16"/>
      <c r="N36" s="17"/>
      <c r="O36" s="18"/>
      <c r="P36" s="18"/>
      <c r="Q36" s="18"/>
      <c r="R36" s="15"/>
      <c r="S36" s="444" t="str">
        <f>IF(X26=11,CONCATENATE(AV117,"      "),IF(AW112=AW110,AS112,IF(AW113=AW110,AS113,AS114)))</f>
        <v>----------</v>
      </c>
      <c r="T36" s="444"/>
      <c r="U36" s="444"/>
      <c r="V36" s="444"/>
      <c r="W36" s="15"/>
      <c r="X36" s="715" t="str">
        <f>IF(X26=11,AS112,IF(AW112=AW110,AO112,IF(AW113=AW110,AO113,AO114)))</f>
        <v>TRIBUTO</v>
      </c>
      <c r="Y36" s="715"/>
      <c r="Z36" s="715"/>
      <c r="AA36" s="715"/>
      <c r="AB36" s="13"/>
      <c r="AC36" s="1"/>
      <c r="AD36" s="100"/>
      <c r="AE36" s="3"/>
      <c r="AF36" s="451"/>
      <c r="AG36" s="451"/>
      <c r="AH36" s="451"/>
      <c r="AI36" s="451"/>
      <c r="AJ36" s="451"/>
      <c r="AK36" s="451"/>
      <c r="AL36" s="451"/>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353"/>
      <c r="BQ36" s="353"/>
      <c r="BR36" s="353"/>
      <c r="BS36" s="353"/>
      <c r="BT36" s="358"/>
      <c r="BU36"/>
      <c r="BV36" s="4"/>
      <c r="GQ36" s="4"/>
      <c r="HX36" s="4"/>
      <c r="HY36" s="4" t="s">
        <v>14</v>
      </c>
      <c r="HZ36" s="4"/>
      <c r="IA36" s="4"/>
      <c r="IB36" s="4"/>
      <c r="IC36" s="4"/>
      <c r="ID36" s="4"/>
      <c r="IE36" s="4"/>
      <c r="IF36" s="4"/>
      <c r="IG36" s="4"/>
      <c r="IH36" s="4"/>
      <c r="II36" s="4"/>
      <c r="IJ36" s="4"/>
      <c r="IK36" s="4"/>
      <c r="IL36" s="4"/>
      <c r="IM36" s="4"/>
      <c r="IN36" s="4"/>
      <c r="IO36" s="4"/>
      <c r="IP36" s="4"/>
      <c r="IQ36" s="4"/>
      <c r="IR36" s="4"/>
      <c r="IS36" s="4"/>
      <c r="IT36" s="4"/>
      <c r="IU36" s="4"/>
    </row>
    <row r="37" spans="1:199" s="5" customFormat="1" ht="12.75">
      <c r="A37" s="354"/>
      <c r="B37" s="2"/>
      <c r="C37" s="2"/>
      <c r="D37" s="1"/>
      <c r="E37" s="14"/>
      <c r="F37" s="539" t="str">
        <f>IF(AND(X26=11,AS107=1507),"",IF(X26=11,"F",IF(X37=F36,"",X37)))</f>
        <v>SANZIONE</v>
      </c>
      <c r="G37" s="539"/>
      <c r="H37" s="539"/>
      <c r="I37" s="539"/>
      <c r="J37" s="15"/>
      <c r="K37" s="89" t="str">
        <f>IF(X26=1,AY113,IF(F37="","",IF(LEFT(F37,2)="89",AO121,IF(LEFT(F37,2)="19",AO123,IF(LEFT(F37,2)="39",AO121,IF(X26=11,AO121,AO119))))))</f>
        <v>                                         </v>
      </c>
      <c r="L37" s="16"/>
      <c r="M37" s="19"/>
      <c r="N37" s="17"/>
      <c r="O37" s="19"/>
      <c r="P37" s="19"/>
      <c r="Q37" s="19"/>
      <c r="R37" s="17"/>
      <c r="S37" s="538" t="str">
        <f>IF(AND(X26=11,AS107=1507),"",IF(X26=11,S36,IF(F37="","",IF(AW113=AW110,AS113,AS114))))</f>
        <v>----------</v>
      </c>
      <c r="T37" s="538"/>
      <c r="U37" s="538"/>
      <c r="V37" s="538"/>
      <c r="W37" s="15"/>
      <c r="X37" s="647" t="str">
        <f>IF(X26=11,AS113,IF(AW108=0,AO113,IF(AW113=0,"",IF(AW113=AW110,AO113,AO114))))</f>
        <v>SANZIONE</v>
      </c>
      <c r="Y37" s="647"/>
      <c r="Z37" s="647"/>
      <c r="AA37" s="647"/>
      <c r="AB37" s="13"/>
      <c r="AC37" s="1"/>
      <c r="AD37" s="100"/>
      <c r="AE37" s="3"/>
      <c r="AF37" s="451"/>
      <c r="AG37" s="451"/>
      <c r="AH37" s="451"/>
      <c r="AI37" s="451"/>
      <c r="AJ37" s="451"/>
      <c r="AK37" s="451"/>
      <c r="AL37" s="451"/>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353"/>
      <c r="BQ37" s="353"/>
      <c r="BR37" s="353"/>
      <c r="BS37" s="353"/>
      <c r="BT37" s="358"/>
      <c r="BU37"/>
      <c r="BV37" s="4"/>
      <c r="GQ37" s="4"/>
    </row>
    <row r="38" spans="1:74" s="5" customFormat="1" ht="12.75">
      <c r="A38" s="354"/>
      <c r="B38" s="2"/>
      <c r="C38" s="2"/>
      <c r="D38" s="1"/>
      <c r="E38" s="14"/>
      <c r="F38" s="714" t="str">
        <f>IF(AND(X26=11,AS107=1507),"",IF(X26=11,"F",IF(X38=F37,"",X38)))</f>
        <v>INTERESSI</v>
      </c>
      <c r="G38" s="714"/>
      <c r="H38" s="714"/>
      <c r="I38" s="714"/>
      <c r="J38" s="15"/>
      <c r="K38" s="89" t="str">
        <f>IF(X26=1,AY114,IF(F38="","",IF(LEFT(F38,2)="89",AO121,IF(LEFT(F38,2)="19",AO123,IF(LEFT(F38,2)="39",AO123,IF(X26=11,AO123,AO119))))))</f>
        <v>                                         </v>
      </c>
      <c r="L38" s="16"/>
      <c r="M38" s="19"/>
      <c r="N38" s="17"/>
      <c r="O38" s="19"/>
      <c r="P38" s="19"/>
      <c r="Q38" s="19"/>
      <c r="R38" s="17"/>
      <c r="S38" s="538" t="str">
        <f>IF(AND(X26=11,AS107=1507),"",IF(X26=11,S36,IF(F38="","",AS114)))</f>
        <v>----------</v>
      </c>
      <c r="T38" s="538"/>
      <c r="U38" s="538"/>
      <c r="V38" s="538"/>
      <c r="W38" s="15"/>
      <c r="X38" s="647" t="str">
        <f>IF(X26=11,AS114,IF(AW109=0,AO114,IF(AW114=0,"",AO114)))</f>
        <v>INTERESSI</v>
      </c>
      <c r="Y38" s="647"/>
      <c r="Z38" s="647"/>
      <c r="AA38" s="647"/>
      <c r="AB38" s="13"/>
      <c r="AC38" s="1"/>
      <c r="AD38" s="100"/>
      <c r="AE38" s="3"/>
      <c r="AF38" s="451"/>
      <c r="AG38" s="451"/>
      <c r="AH38" s="451"/>
      <c r="AI38" s="451"/>
      <c r="AJ38" s="451"/>
      <c r="AK38" s="451"/>
      <c r="AL38" s="451"/>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353"/>
      <c r="BQ38" s="353"/>
      <c r="BR38" s="353"/>
      <c r="BS38" s="353"/>
      <c r="BT38" s="358"/>
      <c r="BU38"/>
      <c r="BV38" s="4"/>
    </row>
    <row r="39" spans="1:74" s="5" customFormat="1" ht="12.75">
      <c r="A39" s="354"/>
      <c r="B39" s="2"/>
      <c r="C39" s="2"/>
      <c r="D39" s="1"/>
      <c r="E39" s="14"/>
      <c r="F39" s="15"/>
      <c r="G39" s="15"/>
      <c r="H39" s="15"/>
      <c r="I39" s="15"/>
      <c r="J39" s="15"/>
      <c r="K39" s="15"/>
      <c r="L39" s="15"/>
      <c r="M39" s="15"/>
      <c r="N39" s="15"/>
      <c r="O39" s="15"/>
      <c r="P39" s="15"/>
      <c r="Q39" s="15"/>
      <c r="R39" s="15"/>
      <c r="S39" s="15"/>
      <c r="T39" s="15"/>
      <c r="U39" s="15"/>
      <c r="V39" s="15"/>
      <c r="W39" s="15"/>
      <c r="X39" s="15"/>
      <c r="Y39" s="15"/>
      <c r="Z39" s="15"/>
      <c r="AA39" s="15"/>
      <c r="AB39" s="13"/>
      <c r="AC39" s="1"/>
      <c r="AD39" s="100"/>
      <c r="AE39" s="3"/>
      <c r="AF39" s="451"/>
      <c r="AG39" s="451"/>
      <c r="AH39" s="451"/>
      <c r="AI39" s="451"/>
      <c r="AJ39" s="451"/>
      <c r="AK39" s="451"/>
      <c r="AL39" s="451"/>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353"/>
      <c r="BQ39" s="353"/>
      <c r="BR39" s="353"/>
      <c r="BS39" s="353"/>
      <c r="BT39" s="358"/>
      <c r="BU39"/>
      <c r="BV39" s="4"/>
    </row>
    <row r="40" spans="1:216" s="5" customFormat="1" ht="12.75">
      <c r="A40" s="354"/>
      <c r="B40" s="2"/>
      <c r="C40" s="2"/>
      <c r="D40" s="1"/>
      <c r="E40" s="101" t="str">
        <f>IF(AW111=AW110," ",IF(AW111=4,"SEZIONE REGIONI",IF(AW111=5,"SEZIONE IMU E ALTRI TRIBUTI LOCALI","F23 - DATI DEL VERSAMENTO")))</f>
        <v> </v>
      </c>
      <c r="F40" s="102"/>
      <c r="G40" s="102"/>
      <c r="H40" s="102"/>
      <c r="I40" s="102"/>
      <c r="J40" s="102"/>
      <c r="K40" s="102"/>
      <c r="L40" s="102"/>
      <c r="M40" s="102"/>
      <c r="N40" s="274" t="str">
        <f>IF(LEFT(E40,3)="F23","(Codice Ufficio 'RCC'  -  Causale 'SZ')"," ")</f>
        <v> </v>
      </c>
      <c r="O40" s="102"/>
      <c r="P40" s="102"/>
      <c r="Q40" s="102"/>
      <c r="R40" s="102"/>
      <c r="S40" s="102"/>
      <c r="T40" s="102"/>
      <c r="U40" s="102"/>
      <c r="V40" s="102"/>
      <c r="W40" s="102"/>
      <c r="X40" s="102"/>
      <c r="Y40" s="102"/>
      <c r="Z40" s="102"/>
      <c r="AA40" s="102"/>
      <c r="AB40" s="103"/>
      <c r="AC40" s="1"/>
      <c r="AD40" s="100"/>
      <c r="AE40" s="3"/>
      <c r="AF40" s="451"/>
      <c r="AG40" s="451"/>
      <c r="AH40" s="451"/>
      <c r="AI40" s="451"/>
      <c r="AJ40" s="451"/>
      <c r="AK40" s="451"/>
      <c r="AL40" s="451"/>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353"/>
      <c r="BQ40" s="353"/>
      <c r="BR40" s="353"/>
      <c r="BS40" s="353"/>
      <c r="BT40" s="358"/>
      <c r="BU40"/>
      <c r="BV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row>
    <row r="41" spans="1:216" s="5" customFormat="1" ht="12.75">
      <c r="A41" s="354"/>
      <c r="B41" s="2"/>
      <c r="C41" s="2"/>
      <c r="D41" s="1"/>
      <c r="E41" s="11"/>
      <c r="F41" s="543" t="s">
        <v>16</v>
      </c>
      <c r="G41" s="543"/>
      <c r="H41" s="543"/>
      <c r="I41" s="543"/>
      <c r="J41" s="12"/>
      <c r="K41" s="543" t="str">
        <f>IF(X26=21,"descrizione","rateazione")</f>
        <v>rateazione</v>
      </c>
      <c r="L41" s="543"/>
      <c r="M41" s="543"/>
      <c r="N41" s="12"/>
      <c r="O41" s="543" t="str">
        <f>IF(X26=21," ","anno")</f>
        <v>anno</v>
      </c>
      <c r="P41" s="543" t="s">
        <v>17</v>
      </c>
      <c r="Q41" s="543"/>
      <c r="R41" s="12"/>
      <c r="S41" s="543" t="s">
        <v>18</v>
      </c>
      <c r="T41" s="543"/>
      <c r="U41" s="543"/>
      <c r="V41" s="543"/>
      <c r="W41" s="12"/>
      <c r="X41" s="543" t="str">
        <f>IF(X26=21,"c.destinatario","imp.a credito")</f>
        <v>imp.a credito</v>
      </c>
      <c r="Y41" s="543"/>
      <c r="Z41" s="543"/>
      <c r="AA41" s="543"/>
      <c r="AB41" s="13"/>
      <c r="AC41" s="1"/>
      <c r="AD41" s="100"/>
      <c r="AE41" s="3"/>
      <c r="AF41" s="722">
        <f>IF(AF13="","",DC314)</f>
      </c>
      <c r="AG41" s="722"/>
      <c r="AH41" s="722"/>
      <c r="AI41" s="722"/>
      <c r="AJ41" s="722"/>
      <c r="AK41" s="722"/>
      <c r="AL41" s="722"/>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353"/>
      <c r="BQ41" s="353"/>
      <c r="BR41" s="353"/>
      <c r="BS41" s="353"/>
      <c r="BT41" s="358"/>
      <c r="BU41"/>
      <c r="BV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row>
    <row r="42" spans="1:74" s="5" customFormat="1" ht="12.75">
      <c r="A42" s="354"/>
      <c r="B42" s="2"/>
      <c r="C42" s="2"/>
      <c r="D42" s="1"/>
      <c r="E42" s="11"/>
      <c r="F42" s="539">
        <f>IF(X26=11,"",IF(X42=X36,"",X42))</f>
      </c>
      <c r="G42" s="539"/>
      <c r="H42" s="539"/>
      <c r="I42" s="539"/>
      <c r="J42" s="12"/>
      <c r="K42" s="89">
        <f>IF(X26=21,AY113,IF(F42="","",IF(LEFT(F42,2)="89",AO121,IF(LEFT(F42,2)="19",AO123,AO119))))</f>
      </c>
      <c r="L42" s="16"/>
      <c r="M42" s="20"/>
      <c r="N42" s="17"/>
      <c r="O42" s="19"/>
      <c r="P42" s="19"/>
      <c r="Q42" s="19"/>
      <c r="R42" s="12"/>
      <c r="S42" s="538">
        <f>IF(X26=11,"",IF(X42=X36,"",IF(AW112=AW111,AS112,IF(AW113=AW111,AS113,AS114))))</f>
      </c>
      <c r="T42" s="538"/>
      <c r="U42" s="538"/>
      <c r="V42" s="538"/>
      <c r="W42" s="12"/>
      <c r="X42" s="546" t="str">
        <f>IF(AW112=AW111,AO112,IF(AW113=AW111,AO113,AO114))</f>
        <v>TRIBUTO</v>
      </c>
      <c r="Y42" s="546"/>
      <c r="Z42" s="546"/>
      <c r="AA42" s="546"/>
      <c r="AB42" s="13"/>
      <c r="AC42" s="1"/>
      <c r="AD42" s="100"/>
      <c r="AE42" s="3"/>
      <c r="AF42" s="722"/>
      <c r="AG42" s="722"/>
      <c r="AH42" s="722"/>
      <c r="AI42" s="722"/>
      <c r="AJ42" s="722"/>
      <c r="AK42" s="722"/>
      <c r="AL42" s="722"/>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353"/>
      <c r="BQ42" s="353"/>
      <c r="BR42" s="353"/>
      <c r="BS42" s="353"/>
      <c r="BT42" s="358"/>
      <c r="BU42"/>
      <c r="BV42" s="4"/>
    </row>
    <row r="43" spans="1:74" s="5" customFormat="1" ht="12.75">
      <c r="A43" s="354"/>
      <c r="B43" s="2"/>
      <c r="C43" s="2"/>
      <c r="D43" s="1"/>
      <c r="E43" s="11"/>
      <c r="F43" s="539">
        <f>IF(X26=11,"",IF(X43=X37,"",IF(X43=F42,"",X43)))</f>
      </c>
      <c r="G43" s="539"/>
      <c r="H43" s="539"/>
      <c r="I43" s="539"/>
      <c r="J43" s="12"/>
      <c r="K43" s="89">
        <f>IF(F43="","",IF(LEFT(F43,2)="89",AO121,IF(LEFT(F43,2)="19",AO123,AO119)))</f>
      </c>
      <c r="L43" s="16"/>
      <c r="M43" s="19"/>
      <c r="N43" s="17"/>
      <c r="O43" s="19"/>
      <c r="P43" s="19"/>
      <c r="Q43" s="19"/>
      <c r="R43" s="12"/>
      <c r="S43" s="538">
        <f>IF(F43="","",IF(AW113=AW111,AS113,AS114))</f>
      </c>
      <c r="T43" s="538"/>
      <c r="U43" s="538"/>
      <c r="V43" s="538"/>
      <c r="W43" s="12"/>
      <c r="X43" s="546">
        <f>IF(AW113=0,"",IF(AW113=AW111,AO113,AO114))</f>
      </c>
      <c r="Y43" s="546"/>
      <c r="Z43" s="546"/>
      <c r="AA43" s="546"/>
      <c r="AB43" s="13"/>
      <c r="AC43" s="1"/>
      <c r="AD43" s="100"/>
      <c r="AE43" s="3"/>
      <c r="AF43" s="722"/>
      <c r="AG43" s="722"/>
      <c r="AH43" s="722"/>
      <c r="AI43" s="722"/>
      <c r="AJ43" s="722"/>
      <c r="AK43" s="722"/>
      <c r="AL43" s="722"/>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353"/>
      <c r="BQ43" s="353"/>
      <c r="BR43" s="353"/>
      <c r="BS43" s="353"/>
      <c r="BT43" s="358"/>
      <c r="BU43"/>
      <c r="BV43" s="4"/>
    </row>
    <row r="44" spans="1:74" s="5" customFormat="1" ht="12.75">
      <c r="A44" s="354"/>
      <c r="B44" s="2"/>
      <c r="C44" s="2"/>
      <c r="D44" s="1"/>
      <c r="E44" s="11"/>
      <c r="F44" s="539">
        <f>IF(X26=11,"",IF(X44=X38,"",IF(X44=F43,"",X44)))</f>
      </c>
      <c r="G44" s="539"/>
      <c r="H44" s="539"/>
      <c r="I44" s="539"/>
      <c r="J44" s="12"/>
      <c r="K44" s="89">
        <f>IF(F44="","",IF(LEFT(F44,2)="89",AO121,IF(LEFT(F44,2)="19",AO123,AO119)))</f>
      </c>
      <c r="L44" s="16"/>
      <c r="M44" s="19"/>
      <c r="N44" s="17"/>
      <c r="O44" s="19"/>
      <c r="P44" s="19"/>
      <c r="Q44" s="19"/>
      <c r="R44" s="12"/>
      <c r="S44" s="538">
        <f>IF(F44="","",AS114)</f>
      </c>
      <c r="T44" s="538"/>
      <c r="U44" s="538"/>
      <c r="V44" s="538"/>
      <c r="W44" s="12"/>
      <c r="X44" s="546">
        <f>IF(AW114=0,"",AO114)</f>
      </c>
      <c r="Y44" s="546"/>
      <c r="Z44" s="546"/>
      <c r="AA44" s="546"/>
      <c r="AB44" s="13"/>
      <c r="AC44" s="1"/>
      <c r="AD44" s="100"/>
      <c r="AE44" s="3"/>
      <c r="AF44" s="713">
        <f>IF(AF13&lt;&gt;"","scegli →","")</f>
      </c>
      <c r="AG44" s="713"/>
      <c r="AH44" s="704" t="s">
        <v>19</v>
      </c>
      <c r="AI44" s="704"/>
      <c r="AJ44" s="704"/>
      <c r="AK44" s="704"/>
      <c r="AL44" s="70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353"/>
      <c r="BQ44" s="353"/>
      <c r="BR44" s="353"/>
      <c r="BS44" s="353"/>
      <c r="BT44" s="358"/>
      <c r="BU44"/>
      <c r="BV44" s="4"/>
    </row>
    <row r="45" spans="1:74" s="5" customFormat="1" ht="12.75">
      <c r="A45" s="354"/>
      <c r="B45" s="2"/>
      <c r="C45" s="2"/>
      <c r="D45" s="1"/>
      <c r="E45" s="11"/>
      <c r="F45" s="15"/>
      <c r="G45" s="15"/>
      <c r="H45" s="15"/>
      <c r="I45" s="15"/>
      <c r="J45" s="15"/>
      <c r="K45" s="15"/>
      <c r="L45" s="15"/>
      <c r="M45" s="15"/>
      <c r="N45" s="15"/>
      <c r="O45" s="15"/>
      <c r="P45" s="15"/>
      <c r="Q45" s="15"/>
      <c r="R45" s="15"/>
      <c r="S45" s="15"/>
      <c r="T45" s="15"/>
      <c r="U45" s="15"/>
      <c r="V45" s="15"/>
      <c r="W45" s="15"/>
      <c r="X45" s="15"/>
      <c r="Y45" s="15"/>
      <c r="Z45" s="15"/>
      <c r="AA45" s="15"/>
      <c r="AB45" s="13"/>
      <c r="AC45" s="1"/>
      <c r="AD45" s="100"/>
      <c r="AE45" s="3"/>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353"/>
      <c r="BQ45" s="353"/>
      <c r="BR45" s="353"/>
      <c r="BS45" s="353"/>
      <c r="BT45" s="358"/>
      <c r="BU45"/>
      <c r="BV45" s="4"/>
    </row>
    <row r="46" spans="1:74" s="5" customFormat="1" ht="12.75">
      <c r="A46" s="354"/>
      <c r="B46" s="2"/>
      <c r="C46" s="2"/>
      <c r="D46" s="1"/>
      <c r="E46" s="21"/>
      <c r="F46" s="544" t="str">
        <f>IF(X26=1,"PER UN IMPORTO COMPLESSIVO DI €","SALDO FINALE")</f>
        <v>SALDO FINALE</v>
      </c>
      <c r="G46" s="544"/>
      <c r="H46" s="544"/>
      <c r="I46" s="544"/>
      <c r="J46" s="544"/>
      <c r="K46" s="544"/>
      <c r="L46" s="544"/>
      <c r="M46" s="544"/>
      <c r="N46" s="544"/>
      <c r="O46" s="544"/>
      <c r="P46" s="544"/>
      <c r="Q46" s="544"/>
      <c r="R46" s="544"/>
      <c r="S46" s="545">
        <f>SUM(S36:V38)+SUM(S42:V44)</f>
        <v>0</v>
      </c>
      <c r="T46" s="545"/>
      <c r="U46" s="545"/>
      <c r="V46" s="545"/>
      <c r="W46" s="22"/>
      <c r="X46" s="706">
        <f>IF(X26=11,SUM(X36:AA38),"")</f>
      </c>
      <c r="Y46" s="706"/>
      <c r="Z46" s="706"/>
      <c r="AA46" s="706"/>
      <c r="AB46" s="23"/>
      <c r="AC46" s="1"/>
      <c r="AD46" s="100"/>
      <c r="AE46" s="3"/>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353"/>
      <c r="BQ46" s="353"/>
      <c r="BR46" s="353"/>
      <c r="BS46" s="353"/>
      <c r="BT46" s="358"/>
      <c r="BU46"/>
      <c r="BV46" s="4"/>
    </row>
    <row r="47" spans="1:74" s="5" customFormat="1" ht="12.75">
      <c r="A47" s="354"/>
      <c r="B47" s="2"/>
      <c r="C47" s="2"/>
      <c r="D47" s="1"/>
      <c r="E47" s="540"/>
      <c r="F47" s="541"/>
      <c r="G47" s="541"/>
      <c r="H47" s="541"/>
      <c r="I47" s="541"/>
      <c r="J47" s="541"/>
      <c r="K47" s="541"/>
      <c r="L47" s="541"/>
      <c r="M47" s="541"/>
      <c r="N47" s="541"/>
      <c r="O47" s="541"/>
      <c r="P47" s="541"/>
      <c r="Q47" s="541"/>
      <c r="R47" s="541"/>
      <c r="S47" s="541"/>
      <c r="T47" s="541"/>
      <c r="U47" s="541"/>
      <c r="V47" s="541"/>
      <c r="W47" s="541"/>
      <c r="X47" s="541"/>
      <c r="Y47" s="541"/>
      <c r="Z47" s="541"/>
      <c r="AA47" s="541"/>
      <c r="AB47" s="542"/>
      <c r="AC47" s="1"/>
      <c r="AD47" s="100"/>
      <c r="AE47" s="3"/>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353"/>
      <c r="BQ47" s="353"/>
      <c r="BR47" s="353"/>
      <c r="BS47" s="353"/>
      <c r="BT47" s="358"/>
      <c r="BU47"/>
      <c r="BV47" s="4"/>
    </row>
    <row r="48" spans="1:74" s="5" customFormat="1" ht="12.75">
      <c r="A48" s="354"/>
      <c r="B48" s="2"/>
      <c r="C48" s="2"/>
      <c r="D48" s="1"/>
      <c r="E48" s="1"/>
      <c r="F48" s="1"/>
      <c r="G48" s="1"/>
      <c r="H48" s="1"/>
      <c r="I48" s="1"/>
      <c r="J48" s="1"/>
      <c r="K48" s="1"/>
      <c r="L48" s="1"/>
      <c r="M48" s="1"/>
      <c r="N48" s="1"/>
      <c r="O48" s="1"/>
      <c r="P48" s="1"/>
      <c r="Q48" s="1"/>
      <c r="R48" s="1"/>
      <c r="S48" s="1"/>
      <c r="T48" s="1"/>
      <c r="U48" s="1"/>
      <c r="V48" s="1"/>
      <c r="W48" s="1"/>
      <c r="X48" s="1"/>
      <c r="Y48" s="1"/>
      <c r="Z48" s="1"/>
      <c r="AA48" s="1"/>
      <c r="AB48" s="1"/>
      <c r="AC48" s="1"/>
      <c r="AD48" s="100"/>
      <c r="AE48" s="3"/>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353"/>
      <c r="BQ48" s="353"/>
      <c r="BR48" s="353"/>
      <c r="BS48" s="353"/>
      <c r="BT48" s="358"/>
      <c r="BU48"/>
      <c r="BV48" s="4"/>
    </row>
    <row r="49" spans="1:74" s="5" customFormat="1" ht="12.75">
      <c r="A49" s="354"/>
      <c r="B49" s="2"/>
      <c r="C49" s="2"/>
      <c r="D49" s="1"/>
      <c r="E49" s="1"/>
      <c r="F49" s="1"/>
      <c r="G49" s="1"/>
      <c r="H49" s="1"/>
      <c r="I49" s="1"/>
      <c r="J49" s="1"/>
      <c r="K49" s="1"/>
      <c r="L49" s="1"/>
      <c r="M49" s="1"/>
      <c r="N49" s="1"/>
      <c r="O49" s="1"/>
      <c r="P49" s="1"/>
      <c r="Q49" s="1"/>
      <c r="R49" s="1"/>
      <c r="S49" s="1"/>
      <c r="T49" s="1"/>
      <c r="U49" s="1"/>
      <c r="V49" s="1"/>
      <c r="W49" s="1"/>
      <c r="X49" s="1"/>
      <c r="Y49" s="1"/>
      <c r="Z49" s="1"/>
      <c r="AA49" s="1"/>
      <c r="AB49" s="1"/>
      <c r="AC49" s="1"/>
      <c r="AD49" s="100"/>
      <c r="AE49" s="3"/>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353"/>
      <c r="BQ49" s="353"/>
      <c r="BR49" s="353"/>
      <c r="BS49" s="353"/>
      <c r="BT49" s="358"/>
      <c r="BU49"/>
      <c r="BV49" s="4"/>
    </row>
    <row r="50" spans="1:74" s="5" customFormat="1" ht="12.75">
      <c r="A50" s="354"/>
      <c r="B50" s="2"/>
      <c r="C50" s="2"/>
      <c r="D50" s="1"/>
      <c r="E50" s="24"/>
      <c r="F50" s="25"/>
      <c r="G50" s="25"/>
      <c r="H50" s="25"/>
      <c r="I50" s="25"/>
      <c r="J50" s="25"/>
      <c r="K50" s="25"/>
      <c r="L50" s="25"/>
      <c r="M50" s="25"/>
      <c r="N50" s="25"/>
      <c r="O50" s="25"/>
      <c r="P50" s="25"/>
      <c r="Q50" s="25"/>
      <c r="R50" s="25"/>
      <c r="S50" s="25"/>
      <c r="T50" s="25"/>
      <c r="U50" s="25"/>
      <c r="V50" s="25"/>
      <c r="W50" s="26"/>
      <c r="X50" s="26"/>
      <c r="Y50" s="26"/>
      <c r="Z50" s="26"/>
      <c r="AA50" s="26"/>
      <c r="AB50" s="27"/>
      <c r="AC50" s="1"/>
      <c r="AD50" s="100"/>
      <c r="AE50" s="3"/>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353"/>
      <c r="BQ50" s="353"/>
      <c r="BR50" s="353"/>
      <c r="BS50" s="353"/>
      <c r="BT50" s="358"/>
      <c r="BU50"/>
      <c r="BV50" s="4"/>
    </row>
    <row r="51" spans="1:74" s="5" customFormat="1" ht="12.75">
      <c r="A51" s="354"/>
      <c r="B51" s="2"/>
      <c r="C51" s="2"/>
      <c r="D51" s="1"/>
      <c r="E51" s="28"/>
      <c r="F51" s="29" t="s">
        <v>20</v>
      </c>
      <c r="G51" s="30"/>
      <c r="H51" s="30"/>
      <c r="I51" s="30"/>
      <c r="J51" s="707">
        <f>I18</f>
      </c>
      <c r="K51" s="707"/>
      <c r="L51" s="707"/>
      <c r="M51" s="707"/>
      <c r="N51" s="707"/>
      <c r="O51" s="707"/>
      <c r="P51" s="707"/>
      <c r="Q51" s="707"/>
      <c r="R51" s="707"/>
      <c r="S51" s="707"/>
      <c r="T51" s="707"/>
      <c r="U51" s="707"/>
      <c r="V51" s="707"/>
      <c r="W51" s="707"/>
      <c r="X51" s="707"/>
      <c r="Y51" s="707"/>
      <c r="Z51" s="707"/>
      <c r="AA51" s="707"/>
      <c r="AB51" s="708"/>
      <c r="AD51" s="100"/>
      <c r="AE51" s="3"/>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353"/>
      <c r="BQ51" s="353"/>
      <c r="BR51" s="353"/>
      <c r="BS51" s="353"/>
      <c r="BT51" s="358"/>
      <c r="BU51"/>
      <c r="BV51" s="4"/>
    </row>
    <row r="52" spans="1:74" s="5" customFormat="1" ht="12.75">
      <c r="A52" s="354"/>
      <c r="B52" s="2"/>
      <c r="C52" s="2"/>
      <c r="D52" s="1"/>
      <c r="E52" s="28"/>
      <c r="F52" s="30"/>
      <c r="G52" s="30"/>
      <c r="H52" s="30"/>
      <c r="I52" s="30"/>
      <c r="J52" s="30"/>
      <c r="K52" s="30"/>
      <c r="L52" s="30"/>
      <c r="M52" s="30"/>
      <c r="N52" s="30"/>
      <c r="O52" s="30"/>
      <c r="P52" s="30"/>
      <c r="Q52" s="30"/>
      <c r="R52" s="30"/>
      <c r="S52" s="30"/>
      <c r="T52" s="30"/>
      <c r="U52" s="30"/>
      <c r="V52" s="30"/>
      <c r="W52" s="31"/>
      <c r="X52" s="31"/>
      <c r="Y52" s="31"/>
      <c r="Z52" s="31"/>
      <c r="AA52" s="31"/>
      <c r="AB52" s="32"/>
      <c r="AC52" s="1"/>
      <c r="AD52" s="100"/>
      <c r="AE52" s="3"/>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353"/>
      <c r="BQ52" s="353"/>
      <c r="BR52" s="353"/>
      <c r="BS52" s="353"/>
      <c r="BT52" s="358"/>
      <c r="BU52"/>
      <c r="BV52" s="4"/>
    </row>
    <row r="53" spans="1:74" s="5" customFormat="1" ht="12.75">
      <c r="A53" s="354"/>
      <c r="B53" s="2"/>
      <c r="C53" s="2"/>
      <c r="D53" s="1"/>
      <c r="E53" s="28"/>
      <c r="F53" s="710" t="s">
        <v>21</v>
      </c>
      <c r="G53" s="710"/>
      <c r="H53" s="710"/>
      <c r="I53" s="710"/>
      <c r="J53" s="710"/>
      <c r="K53" s="710"/>
      <c r="L53" s="710"/>
      <c r="M53" s="709" t="str">
        <f>N31</f>
        <v>----------</v>
      </c>
      <c r="N53" s="709"/>
      <c r="O53" s="709"/>
      <c r="P53" s="709"/>
      <c r="Q53" s="550" t="s">
        <v>22</v>
      </c>
      <c r="R53" s="550"/>
      <c r="S53" s="709" t="str">
        <f>N32</f>
        <v>----------</v>
      </c>
      <c r="T53" s="709"/>
      <c r="U53" s="709"/>
      <c r="V53" s="709"/>
      <c r="W53" s="34"/>
      <c r="X53" s="705" t="str">
        <f>X16</f>
        <v>----------</v>
      </c>
      <c r="Y53" s="705"/>
      <c r="Z53" s="705"/>
      <c r="AA53" s="705"/>
      <c r="AB53" s="32"/>
      <c r="AC53" s="1"/>
      <c r="AD53" s="100"/>
      <c r="AE53" s="3"/>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353"/>
      <c r="BQ53" s="353"/>
      <c r="BR53" s="353"/>
      <c r="BS53" s="353"/>
      <c r="BT53" s="358"/>
      <c r="BU53"/>
      <c r="BV53" s="4"/>
    </row>
    <row r="54" spans="1:74" s="5" customFormat="1" ht="12.75">
      <c r="A54" s="354"/>
      <c r="B54" s="2"/>
      <c r="C54" s="2"/>
      <c r="D54" s="1"/>
      <c r="E54" s="28"/>
      <c r="F54" s="30"/>
      <c r="G54" s="30"/>
      <c r="H54" s="30"/>
      <c r="I54" s="30"/>
      <c r="J54" s="30"/>
      <c r="K54" s="30"/>
      <c r="L54" s="30"/>
      <c r="M54" s="30"/>
      <c r="N54" s="30"/>
      <c r="O54" s="30"/>
      <c r="P54" s="30"/>
      <c r="Q54" s="30"/>
      <c r="R54" s="30"/>
      <c r="S54" s="30"/>
      <c r="T54" s="30"/>
      <c r="U54" s="30"/>
      <c r="V54" s="30"/>
      <c r="W54" s="31"/>
      <c r="X54" s="31"/>
      <c r="Y54" s="31"/>
      <c r="Z54" s="31"/>
      <c r="AA54" s="31"/>
      <c r="AB54" s="32"/>
      <c r="AC54" s="1"/>
      <c r="AD54" s="100"/>
      <c r="AE54" s="3"/>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353"/>
      <c r="BQ54" s="353"/>
      <c r="BR54" s="353"/>
      <c r="BS54" s="353"/>
      <c r="BT54" s="358"/>
      <c r="BU54"/>
      <c r="BV54" s="4"/>
    </row>
    <row r="55" spans="1:74" s="5" customFormat="1" ht="12.75">
      <c r="A55" s="354"/>
      <c r="B55" s="2"/>
      <c r="C55" s="2"/>
      <c r="D55" s="1"/>
      <c r="E55" s="28"/>
      <c r="F55" s="35" t="str">
        <f>E17</f>
        <v>OMESSO VERSAMENTO</v>
      </c>
      <c r="G55" s="35"/>
      <c r="H55" s="35"/>
      <c r="I55" s="35"/>
      <c r="J55" s="35"/>
      <c r="K55" s="35"/>
      <c r="L55" s="35"/>
      <c r="M55" s="35"/>
      <c r="N55" s="35"/>
      <c r="O55" s="35"/>
      <c r="P55" s="35"/>
      <c r="Q55" s="35"/>
      <c r="R55" s="30"/>
      <c r="S55" s="35"/>
      <c r="T55" s="36" t="str">
        <f>IF(AS107=1507,"","cTrib")</f>
        <v>cTrib</v>
      </c>
      <c r="U55" s="550">
        <f>IF(OR(AS107=0,AS107=1507),"",IF(AS107&lt;1000,CONCATENATE(AS107,"T"),AS107))</f>
      </c>
      <c r="V55" s="550"/>
      <c r="X55" s="551" t="str">
        <f>X17</f>
        <v>----------</v>
      </c>
      <c r="Y55" s="551"/>
      <c r="Z55" s="551"/>
      <c r="AA55" s="551"/>
      <c r="AB55" s="32"/>
      <c r="AC55" s="1"/>
      <c r="AD55" s="100"/>
      <c r="AE55" s="3"/>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353"/>
      <c r="BQ55" s="353"/>
      <c r="BR55" s="353"/>
      <c r="BS55" s="353"/>
      <c r="BT55" s="358"/>
      <c r="BU55"/>
      <c r="BV55" s="4"/>
    </row>
    <row r="56" spans="1:74" s="5" customFormat="1" ht="12.75">
      <c r="A56" s="354"/>
      <c r="B56" s="2"/>
      <c r="C56" s="2"/>
      <c r="D56" s="1"/>
      <c r="E56" s="28"/>
      <c r="F56" s="30"/>
      <c r="G56" s="30"/>
      <c r="H56" s="30"/>
      <c r="I56" s="30"/>
      <c r="J56" s="30"/>
      <c r="K56" s="30"/>
      <c r="L56" s="30"/>
      <c r="M56" s="30"/>
      <c r="N56" s="30"/>
      <c r="O56" s="30"/>
      <c r="P56" s="30"/>
      <c r="Q56" s="30"/>
      <c r="R56" s="30"/>
      <c r="S56" s="30"/>
      <c r="T56" s="37"/>
      <c r="U56" s="37"/>
      <c r="V56" s="37"/>
      <c r="W56" s="31"/>
      <c r="X56" s="31"/>
      <c r="Y56" s="31"/>
      <c r="Z56" s="31"/>
      <c r="AA56" s="31"/>
      <c r="AB56" s="32"/>
      <c r="AC56" s="1"/>
      <c r="AD56" s="100"/>
      <c r="AE56" s="3"/>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353"/>
      <c r="BQ56" s="353"/>
      <c r="BR56" s="353"/>
      <c r="BS56" s="353"/>
      <c r="BT56" s="358"/>
      <c r="BU56"/>
      <c r="BV56" s="4"/>
    </row>
    <row r="57" spans="1:74" s="5" customFormat="1" ht="12.75">
      <c r="A57" s="354"/>
      <c r="B57" s="2"/>
      <c r="C57" s="2"/>
      <c r="D57" s="1"/>
      <c r="E57" s="28"/>
      <c r="F57" s="35" t="str">
        <f>E18</f>
        <v>SANZIONE</v>
      </c>
      <c r="G57" s="35"/>
      <c r="H57" s="35"/>
      <c r="I57" s="653">
        <f>P154</f>
        <v>0</v>
      </c>
      <c r="J57" s="653">
        <f>V154</f>
        <v>0</v>
      </c>
      <c r="K57" s="33">
        <f>IF(I57=0,"","x")</f>
      </c>
      <c r="L57" s="654">
        <f>IF(AG154&gt;0,S154,"MIN")</f>
        <v>0</v>
      </c>
      <c r="M57" s="654" t="s">
        <v>23</v>
      </c>
      <c r="N57" s="33">
        <f>IF(I57=0,"",IF(AG152&gt;0,"","¹  ="))</f>
      </c>
      <c r="O57" s="655">
        <f>IF(L57=0,"",IF(AG154&gt;0,V154*100,Y154*AG154+X152*AG152))</f>
      </c>
      <c r="P57" s="655"/>
      <c r="Q57" s="322">
        <f>IF(I57=0,"",IF(AG152&gt;0,"¹","% ²"))</f>
      </c>
      <c r="R57" s="38"/>
      <c r="S57" s="35"/>
      <c r="T57" s="36" t="s">
        <v>24</v>
      </c>
      <c r="U57" s="550">
        <f>IF(AS108=0,"",IF(AS108&lt;1000,CONCATENATE(AS108,"T"),AS108))</f>
      </c>
      <c r="V57" s="550"/>
      <c r="X57" s="551" t="str">
        <f>X18</f>
        <v>----------</v>
      </c>
      <c r="Y57" s="551"/>
      <c r="Z57" s="551"/>
      <c r="AA57" s="551"/>
      <c r="AB57" s="331">
        <f>IF(I57=0,"",IF(AG152&gt;0,"²",IF(OR(U57=1507,AND(U57=1509,U55=1504)),"³","")))</f>
      </c>
      <c r="AC57" s="1"/>
      <c r="AD57" s="100"/>
      <c r="AE57" s="3"/>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353"/>
      <c r="BQ57" s="353"/>
      <c r="BR57" s="353"/>
      <c r="BS57" s="353"/>
      <c r="BT57" s="358"/>
      <c r="BU57"/>
      <c r="BV57" s="4"/>
    </row>
    <row r="58" spans="1:74" s="5" customFormat="1" ht="12.75">
      <c r="A58" s="354"/>
      <c r="B58" s="2"/>
      <c r="C58" s="2"/>
      <c r="D58" s="1"/>
      <c r="E58" s="28"/>
      <c r="F58" s="30"/>
      <c r="G58" s="30"/>
      <c r="H58" s="30"/>
      <c r="I58" s="30"/>
      <c r="J58" s="30"/>
      <c r="K58" s="30"/>
      <c r="L58" s="30"/>
      <c r="M58" s="30"/>
      <c r="N58" s="30"/>
      <c r="O58" s="30"/>
      <c r="P58" s="30"/>
      <c r="Q58" s="30"/>
      <c r="R58" s="30"/>
      <c r="S58" s="39"/>
      <c r="T58" s="40"/>
      <c r="U58" s="40"/>
      <c r="V58" s="40"/>
      <c r="W58" s="41"/>
      <c r="X58" s="41"/>
      <c r="Y58" s="41"/>
      <c r="Z58" s="41"/>
      <c r="AA58" s="41"/>
      <c r="AB58" s="32"/>
      <c r="AC58" s="1"/>
      <c r="AD58" s="100"/>
      <c r="AE58" s="3"/>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353"/>
      <c r="BQ58" s="353"/>
      <c r="BR58" s="353"/>
      <c r="BS58" s="353"/>
      <c r="BT58" s="358"/>
      <c r="BU58"/>
      <c r="BV58" s="4"/>
    </row>
    <row r="59" spans="1:74" s="5" customFormat="1" ht="12.75">
      <c r="A59" s="354"/>
      <c r="B59" s="2"/>
      <c r="C59" s="2"/>
      <c r="D59" s="1"/>
      <c r="E59" s="28"/>
      <c r="F59" s="35" t="str">
        <f>E19</f>
        <v>INTERESSI</v>
      </c>
      <c r="G59" s="35"/>
      <c r="H59" s="35"/>
      <c r="I59" s="35"/>
      <c r="J59" s="35"/>
      <c r="K59" s="35"/>
      <c r="L59" s="35"/>
      <c r="M59" s="35"/>
      <c r="N59" s="35"/>
      <c r="O59" s="35"/>
      <c r="P59" s="35"/>
      <c r="Q59" s="35"/>
      <c r="R59" s="30"/>
      <c r="S59" s="35"/>
      <c r="T59" s="36" t="str">
        <f>IF(AS107=1507,"","cTrib")</f>
        <v>cTrib</v>
      </c>
      <c r="U59" s="550">
        <f>IF(OR(AS109=0,AS109=1507),"",IF(AS109&lt;1000,CONCATENATE(AS109,"T"),AS109))</f>
      </c>
      <c r="V59" s="550"/>
      <c r="X59" s="551" t="str">
        <f>X19</f>
        <v>----------</v>
      </c>
      <c r="Y59" s="551"/>
      <c r="Z59" s="551"/>
      <c r="AA59" s="551"/>
      <c r="AB59" s="32"/>
      <c r="AC59" s="1"/>
      <c r="AD59" s="100"/>
      <c r="AE59" s="3"/>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353"/>
      <c r="BQ59" s="353"/>
      <c r="BR59" s="353"/>
      <c r="BS59" s="353"/>
      <c r="BT59" s="358"/>
      <c r="BU59"/>
      <c r="BV59" s="4"/>
    </row>
    <row r="60" spans="1:74" s="5" customFormat="1" ht="18.75" customHeight="1">
      <c r="A60" s="354"/>
      <c r="B60" s="2"/>
      <c r="C60" s="2"/>
      <c r="D60" s="1"/>
      <c r="E60" s="42"/>
      <c r="F60" s="45" t="str">
        <f>Q180</f>
        <v> </v>
      </c>
      <c r="G60" s="652" t="str">
        <f>R180</f>
        <v> </v>
      </c>
      <c r="H60" s="652"/>
      <c r="I60" s="652"/>
      <c r="J60" s="43" t="str">
        <f>S180</f>
        <v> </v>
      </c>
      <c r="K60" s="652" t="str">
        <f>T180</f>
        <v> </v>
      </c>
      <c r="L60" s="652"/>
      <c r="M60" s="652"/>
      <c r="N60" s="656" t="str">
        <f>U180</f>
        <v> </v>
      </c>
      <c r="O60" s="656"/>
      <c r="P60" s="44" t="str">
        <f>V180</f>
        <v> </v>
      </c>
      <c r="Q60" s="31"/>
      <c r="R60" s="657" t="str">
        <f>W180</f>
        <v> </v>
      </c>
      <c r="S60" s="658"/>
      <c r="T60" s="45" t="str">
        <f>X180</f>
        <v> </v>
      </c>
      <c r="U60" s="552" t="str">
        <f>Y180</f>
        <v> </v>
      </c>
      <c r="V60" s="552"/>
      <c r="W60" s="552"/>
      <c r="X60" s="31"/>
      <c r="Y60" s="258" t="str">
        <f>Z180</f>
        <v> </v>
      </c>
      <c r="Z60" s="41"/>
      <c r="AA60" s="41"/>
      <c r="AB60" s="32"/>
      <c r="AC60" s="1"/>
      <c r="AD60" s="100"/>
      <c r="AE60" s="3"/>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353"/>
      <c r="BQ60" s="353"/>
      <c r="BR60" s="353"/>
      <c r="BS60" s="353"/>
      <c r="BT60" s="358"/>
      <c r="BU60"/>
      <c r="BV60" s="4"/>
    </row>
    <row r="61" spans="1:74" s="5" customFormat="1" ht="12.75">
      <c r="A61" s="354"/>
      <c r="B61" s="2"/>
      <c r="C61" s="2"/>
      <c r="D61" s="1"/>
      <c r="E61" s="42"/>
      <c r="F61" s="45">
        <f>Q186</f>
      </c>
      <c r="G61" s="652">
        <f>R186</f>
      </c>
      <c r="H61" s="652"/>
      <c r="I61" s="652"/>
      <c r="J61" s="45">
        <f>S186</f>
      </c>
      <c r="K61" s="652">
        <f>T186</f>
      </c>
      <c r="L61" s="652"/>
      <c r="M61" s="652"/>
      <c r="N61" s="656">
        <f>U186</f>
      </c>
      <c r="O61" s="656"/>
      <c r="P61" s="44">
        <f>V186</f>
      </c>
      <c r="Q61" s="31"/>
      <c r="R61" s="657">
        <f>W186</f>
      </c>
      <c r="S61" s="658"/>
      <c r="T61" s="45">
        <f>X186</f>
      </c>
      <c r="U61" s="552">
        <f>Y186</f>
      </c>
      <c r="V61" s="552"/>
      <c r="W61" s="552"/>
      <c r="X61" s="31"/>
      <c r="Y61" s="136">
        <f>Z186</f>
      </c>
      <c r="Z61" s="30"/>
      <c r="AA61" s="30"/>
      <c r="AB61" s="32"/>
      <c r="AC61" s="1"/>
      <c r="AD61" s="100"/>
      <c r="AE61" s="3"/>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353"/>
      <c r="BQ61" s="353"/>
      <c r="BR61" s="353"/>
      <c r="BS61" s="353"/>
      <c r="BT61" s="358"/>
      <c r="BU61"/>
      <c r="BV61" s="4"/>
    </row>
    <row r="62" spans="1:74" s="5" customFormat="1" ht="12.75">
      <c r="A62" s="354"/>
      <c r="B62" s="2"/>
      <c r="C62" s="2"/>
      <c r="D62" s="1"/>
      <c r="E62" s="46"/>
      <c r="F62" s="45">
        <f>AA186</f>
      </c>
      <c r="G62" s="652">
        <f>AB186</f>
      </c>
      <c r="H62" s="652"/>
      <c r="I62" s="652"/>
      <c r="J62" s="45">
        <f>AC186</f>
      </c>
      <c r="K62" s="652">
        <f>AD186</f>
      </c>
      <c r="L62" s="652"/>
      <c r="M62" s="652"/>
      <c r="N62" s="656">
        <f>AE186</f>
      </c>
      <c r="O62" s="656"/>
      <c r="P62" s="44">
        <f>AF186</f>
      </c>
      <c r="Q62" s="44"/>
      <c r="R62" s="657">
        <f>AG186</f>
      </c>
      <c r="S62" s="658"/>
      <c r="T62" s="45">
        <f>AH186</f>
      </c>
      <c r="U62" s="552">
        <f>AI186</f>
      </c>
      <c r="V62" s="552"/>
      <c r="W62" s="552"/>
      <c r="X62" s="47"/>
      <c r="Y62" s="136">
        <f>AJ186</f>
      </c>
      <c r="Z62" s="31"/>
      <c r="AA62" s="31"/>
      <c r="AB62" s="32"/>
      <c r="AC62" s="1"/>
      <c r="AD62" s="100"/>
      <c r="AE62" s="3"/>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353"/>
      <c r="BQ62" s="353"/>
      <c r="BR62" s="353"/>
      <c r="BS62" s="353"/>
      <c r="BT62" s="358"/>
      <c r="BU62"/>
      <c r="BV62" s="4"/>
    </row>
    <row r="63" spans="1:74" s="5" customFormat="1" ht="12.75">
      <c r="A63" s="354"/>
      <c r="B63" s="2"/>
      <c r="C63" s="2"/>
      <c r="D63" s="1"/>
      <c r="E63" s="46"/>
      <c r="F63" s="45">
        <f>AK186</f>
      </c>
      <c r="G63" s="652">
        <f>AL186</f>
      </c>
      <c r="H63" s="652"/>
      <c r="I63" s="652"/>
      <c r="J63" s="45">
        <f>AM186</f>
      </c>
      <c r="K63" s="652">
        <f>AN186</f>
      </c>
      <c r="L63" s="652"/>
      <c r="M63" s="652"/>
      <c r="N63" s="656">
        <f>AO186</f>
      </c>
      <c r="O63" s="656"/>
      <c r="P63" s="44">
        <f>AP186</f>
      </c>
      <c r="Q63" s="44"/>
      <c r="R63" s="657">
        <f>AQ186</f>
      </c>
      <c r="S63" s="658"/>
      <c r="T63" s="45">
        <f>AR186</f>
      </c>
      <c r="U63" s="552">
        <f>AS186</f>
      </c>
      <c r="V63" s="552"/>
      <c r="W63" s="552"/>
      <c r="X63" s="31"/>
      <c r="Y63" s="136">
        <f>AT186</f>
      </c>
      <c r="Z63" s="31"/>
      <c r="AA63" s="31"/>
      <c r="AB63" s="32"/>
      <c r="AC63" s="1"/>
      <c r="AD63" s="100"/>
      <c r="AE63" s="3"/>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353"/>
      <c r="BQ63" s="353"/>
      <c r="BR63" s="353"/>
      <c r="BS63" s="353"/>
      <c r="BT63" s="358"/>
      <c r="BU63"/>
      <c r="BV63" s="4"/>
    </row>
    <row r="64" spans="1:74" s="5" customFormat="1" ht="12.75">
      <c r="A64" s="354"/>
      <c r="B64" s="2"/>
      <c r="C64" s="2"/>
      <c r="D64" s="1"/>
      <c r="E64" s="46"/>
      <c r="F64" s="45">
        <f>AU186</f>
      </c>
      <c r="G64" s="652">
        <f>AV186</f>
      </c>
      <c r="H64" s="652"/>
      <c r="I64" s="652"/>
      <c r="J64" s="45">
        <f>AW186</f>
      </c>
      <c r="K64" s="652">
        <f>AX186</f>
      </c>
      <c r="L64" s="652"/>
      <c r="M64" s="652"/>
      <c r="N64" s="656">
        <f>AY186</f>
      </c>
      <c r="O64" s="656"/>
      <c r="P64" s="44">
        <f>AZ186</f>
      </c>
      <c r="Q64" s="31"/>
      <c r="R64" s="657">
        <f>BA186</f>
      </c>
      <c r="S64" s="658"/>
      <c r="T64" s="45">
        <f>BB186</f>
      </c>
      <c r="U64" s="552">
        <f>BC186</f>
      </c>
      <c r="V64" s="552"/>
      <c r="W64" s="552"/>
      <c r="X64" s="31"/>
      <c r="Y64" s="136">
        <f>BD186</f>
      </c>
      <c r="Z64" s="31"/>
      <c r="AA64" s="31"/>
      <c r="AB64" s="32"/>
      <c r="AC64" s="1"/>
      <c r="AD64" s="100"/>
      <c r="AE64" s="3"/>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353"/>
      <c r="BQ64" s="353"/>
      <c r="BR64" s="353"/>
      <c r="BS64" s="353"/>
      <c r="BT64" s="358"/>
      <c r="BU64"/>
      <c r="BV64" s="4"/>
    </row>
    <row r="65" spans="1:74" s="5" customFormat="1" ht="12.75">
      <c r="A65" s="354"/>
      <c r="B65" s="2"/>
      <c r="C65" s="2"/>
      <c r="D65" s="1"/>
      <c r="E65" s="46"/>
      <c r="F65" s="45">
        <f>BE186</f>
      </c>
      <c r="G65" s="652">
        <f>BF186</f>
      </c>
      <c r="H65" s="652"/>
      <c r="I65" s="652"/>
      <c r="J65" s="45">
        <f>BG186</f>
      </c>
      <c r="K65" s="652">
        <f>BH186</f>
      </c>
      <c r="L65" s="652"/>
      <c r="M65" s="652"/>
      <c r="N65" s="656">
        <f>BI186</f>
      </c>
      <c r="O65" s="656"/>
      <c r="P65" s="44">
        <f>BJ186</f>
      </c>
      <c r="Q65" s="44"/>
      <c r="R65" s="657">
        <f>BK186</f>
      </c>
      <c r="S65" s="658"/>
      <c r="T65" s="45">
        <f>BL186</f>
      </c>
      <c r="U65" s="552">
        <f>BM186</f>
      </c>
      <c r="V65" s="552"/>
      <c r="W65" s="552"/>
      <c r="X65" s="47"/>
      <c r="Y65" s="136">
        <f>BN186</f>
      </c>
      <c r="Z65" s="31"/>
      <c r="AA65" s="31"/>
      <c r="AB65" s="32"/>
      <c r="AC65" s="1"/>
      <c r="AD65" s="100"/>
      <c r="AE65" s="3"/>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353"/>
      <c r="BQ65" s="353"/>
      <c r="BR65" s="353"/>
      <c r="BS65" s="353"/>
      <c r="BT65" s="358"/>
      <c r="BU65"/>
      <c r="BV65" s="4"/>
    </row>
    <row r="66" spans="1:74" s="5" customFormat="1" ht="12.75">
      <c r="A66" s="354"/>
      <c r="B66" s="2"/>
      <c r="C66" s="2"/>
      <c r="D66" s="1"/>
      <c r="E66" s="46"/>
      <c r="F66" s="684">
        <f>IF(I57&gt;0,AS156,"")</f>
      </c>
      <c r="G66" s="684"/>
      <c r="H66" s="684"/>
      <c r="I66" s="684"/>
      <c r="J66" s="684"/>
      <c r="K66" s="684"/>
      <c r="L66" s="684"/>
      <c r="M66" s="684"/>
      <c r="N66" s="684"/>
      <c r="O66" s="684"/>
      <c r="P66" s="684"/>
      <c r="Q66" s="684"/>
      <c r="R66" s="319"/>
      <c r="S66" s="320"/>
      <c r="T66" s="45"/>
      <c r="U66" s="318"/>
      <c r="V66" s="318"/>
      <c r="W66" s="318"/>
      <c r="X66" s="47"/>
      <c r="Y66" s="136"/>
      <c r="Z66" s="31"/>
      <c r="AB66" s="32"/>
      <c r="AC66" s="1"/>
      <c r="AD66" s="100"/>
      <c r="AE66" s="3"/>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353"/>
      <c r="BQ66" s="353"/>
      <c r="BR66" s="353"/>
      <c r="BS66" s="353"/>
      <c r="BT66" s="358"/>
      <c r="BU66"/>
      <c r="BV66" s="4"/>
    </row>
    <row r="67" spans="1:74" s="5" customFormat="1" ht="12" customHeight="1">
      <c r="A67" s="354"/>
      <c r="B67" s="2"/>
      <c r="C67" s="2"/>
      <c r="D67" s="1"/>
      <c r="E67" s="46"/>
      <c r="F67" s="328">
        <f>IF(I57=0,"",IF(AG154&gt;0,"² Percentuale arrotondata per eccesso al secondo decimale",IF(U57=1507,CONCATENATE("² Hai scelto di calcolare la sanzione sull'imposta dovuta per ",AH44," ="),"² Importo arrotondato all'unità di euro per trocamento")))</f>
      </c>
      <c r="G67" s="321"/>
      <c r="H67" s="321"/>
      <c r="I67" s="321"/>
      <c r="J67" s="45"/>
      <c r="K67" s="321"/>
      <c r="L67" s="321"/>
      <c r="M67" s="321"/>
      <c r="N67" s="317"/>
      <c r="O67" s="317"/>
      <c r="P67" s="44"/>
      <c r="Q67" s="44"/>
      <c r="R67" s="319"/>
      <c r="S67" s="320"/>
      <c r="T67" s="554">
        <f>IF(AND(U57=1507,F68=""),Y154,"")</f>
      </c>
      <c r="U67" s="554"/>
      <c r="V67" s="330">
        <f>IF(AND(U57=1507,F68="")," x ","")</f>
      </c>
      <c r="W67" s="702">
        <f>IF(AND(U57=1507,F68=""),V154,"")</f>
      </c>
      <c r="X67" s="703"/>
      <c r="Y67" s="330">
        <f>IF(AND(U57=1507,F68="")," = ","")</f>
      </c>
      <c r="Z67" s="554">
        <f>IF(AND(U57=1507,F68=""),AD154,"")</f>
      </c>
      <c r="AA67" s="554"/>
      <c r="AB67" s="32"/>
      <c r="AC67" s="1"/>
      <c r="AD67" s="100"/>
      <c r="AE67" s="3"/>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353"/>
      <c r="BQ67" s="353"/>
      <c r="BR67" s="353"/>
      <c r="BS67" s="353"/>
      <c r="BT67" s="358"/>
      <c r="BU67"/>
      <c r="BV67" s="4"/>
    </row>
    <row r="68" spans="1:74" s="5" customFormat="1" ht="12" customHeight="1">
      <c r="A68" s="354"/>
      <c r="B68" s="2"/>
      <c r="C68" s="2"/>
      <c r="D68" s="1"/>
      <c r="E68" s="48"/>
      <c r="F68" s="302">
        <f>IF(AND(AB57="³",ED106=1507),"³ Sanzione calcolata sull'imposta teorica dovuta per l'intera durata contrattuale  =",IF(AB57="³",CONCATENATE("³ Hai scelto di calcolare la sanzione sull'imposta dovuta per ",AH44," ="),""))</f>
      </c>
      <c r="G68" s="49"/>
      <c r="H68" s="49"/>
      <c r="I68" s="49"/>
      <c r="J68" s="49"/>
      <c r="K68" s="49"/>
      <c r="L68" s="49"/>
      <c r="M68" s="49"/>
      <c r="N68" s="49"/>
      <c r="O68" s="49"/>
      <c r="P68" s="49"/>
      <c r="Q68" s="49"/>
      <c r="R68" s="49"/>
      <c r="S68" s="49"/>
      <c r="T68" s="659">
        <f>IF(F68="","",Y154)</f>
      </c>
      <c r="U68" s="659"/>
      <c r="V68" s="329">
        <f>IF(F68="","","x")</f>
      </c>
      <c r="W68" s="699">
        <f>IF(F68="","",V154)</f>
      </c>
      <c r="X68" s="700"/>
      <c r="Y68" s="329">
        <f>IF(F68="","","=")</f>
      </c>
      <c r="Z68" s="659">
        <f>IF(F68="","",AD154)</f>
      </c>
      <c r="AA68" s="659"/>
      <c r="AB68" s="50"/>
      <c r="AC68" s="1"/>
      <c r="AD68" s="100"/>
      <c r="AE68" s="3"/>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353"/>
      <c r="BQ68" s="353"/>
      <c r="BR68" s="353"/>
      <c r="BS68" s="353"/>
      <c r="BT68" s="358"/>
      <c r="BU68"/>
      <c r="BV68" s="4"/>
    </row>
    <row r="69" spans="1:74" s="5" customFormat="1" ht="15.75" customHeight="1">
      <c r="A69" s="354"/>
      <c r="B69" s="2"/>
      <c r="C69" s="2"/>
      <c r="D69" s="1"/>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1"/>
      <c r="AD69" s="100"/>
      <c r="AE69" s="3"/>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353"/>
      <c r="BQ69" s="353"/>
      <c r="BR69" s="353"/>
      <c r="BS69" s="353"/>
      <c r="BT69" s="358"/>
      <c r="BU69"/>
      <c r="BV69" s="4"/>
    </row>
    <row r="70" spans="1:74" s="5" customFormat="1" ht="39" customHeight="1">
      <c r="A70" s="354"/>
      <c r="B70" s="2"/>
      <c r="C70" s="2"/>
      <c r="D70" s="1"/>
      <c r="E70" s="678" t="str">
        <f>CONCATENATE(E20," 
",E23)</f>
        <v> 
</v>
      </c>
      <c r="F70" s="679"/>
      <c r="G70" s="679"/>
      <c r="H70" s="679"/>
      <c r="I70" s="679"/>
      <c r="J70" s="679"/>
      <c r="K70" s="679"/>
      <c r="L70" s="679"/>
      <c r="M70" s="679"/>
      <c r="N70" s="679"/>
      <c r="O70" s="679"/>
      <c r="P70" s="679"/>
      <c r="Q70" s="679"/>
      <c r="R70" s="679"/>
      <c r="S70" s="679"/>
      <c r="T70" s="679"/>
      <c r="U70" s="679"/>
      <c r="V70" s="679"/>
      <c r="W70" s="679"/>
      <c r="X70" s="679"/>
      <c r="Y70" s="679"/>
      <c r="Z70" s="679"/>
      <c r="AA70" s="679"/>
      <c r="AB70" s="680"/>
      <c r="AC70" s="1"/>
      <c r="AD70" s="100"/>
      <c r="AE70" s="3"/>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353"/>
      <c r="BQ70" s="353"/>
      <c r="BR70" s="353"/>
      <c r="BS70" s="353"/>
      <c r="BT70" s="358"/>
      <c r="BU70"/>
      <c r="BV70" s="4"/>
    </row>
    <row r="71" spans="1:74" s="5" customFormat="1" ht="39" customHeight="1">
      <c r="A71" s="354"/>
      <c r="B71" s="2"/>
      <c r="C71" s="2"/>
      <c r="D71" s="2"/>
      <c r="E71" s="681"/>
      <c r="F71" s="682"/>
      <c r="G71" s="682"/>
      <c r="H71" s="682"/>
      <c r="I71" s="682"/>
      <c r="J71" s="682"/>
      <c r="K71" s="682"/>
      <c r="L71" s="682"/>
      <c r="M71" s="682"/>
      <c r="N71" s="682"/>
      <c r="O71" s="682"/>
      <c r="P71" s="682"/>
      <c r="Q71" s="682"/>
      <c r="R71" s="682"/>
      <c r="S71" s="682"/>
      <c r="T71" s="682"/>
      <c r="U71" s="682"/>
      <c r="V71" s="682"/>
      <c r="W71" s="682"/>
      <c r="X71" s="682"/>
      <c r="Y71" s="682"/>
      <c r="Z71" s="682"/>
      <c r="AA71" s="682"/>
      <c r="AB71" s="683"/>
      <c r="AC71" s="2"/>
      <c r="AD71" s="100"/>
      <c r="AE71" s="3"/>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353"/>
      <c r="BQ71" s="353"/>
      <c r="BR71" s="353"/>
      <c r="BS71" s="353"/>
      <c r="BT71" s="358"/>
      <c r="BU71"/>
      <c r="BV71" s="4"/>
    </row>
    <row r="72" spans="1:74" s="5" customFormat="1" ht="12.75">
      <c r="A72" s="35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100"/>
      <c r="AE72" s="3"/>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353"/>
      <c r="BQ72" s="353"/>
      <c r="BR72" s="353"/>
      <c r="BS72" s="353"/>
      <c r="BT72" s="358"/>
      <c r="BU72"/>
      <c r="BV72" s="4"/>
    </row>
    <row r="73" spans="1:74" s="5" customFormat="1" ht="12.75">
      <c r="A73" s="35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100"/>
      <c r="AE73" s="3"/>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353"/>
      <c r="BQ73" s="353"/>
      <c r="BR73" s="353"/>
      <c r="BS73" s="353"/>
      <c r="BT73" s="358"/>
      <c r="BU73"/>
      <c r="BV73" s="4"/>
    </row>
    <row r="74" spans="1:74" s="5" customFormat="1" ht="12.75">
      <c r="A74" s="35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100"/>
      <c r="AE74" s="3"/>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353"/>
      <c r="BQ74" s="353"/>
      <c r="BR74" s="353"/>
      <c r="BS74" s="353"/>
      <c r="BT74" s="358"/>
      <c r="BU74"/>
      <c r="BV74" s="4"/>
    </row>
    <row r="75" spans="1:74" s="5" customFormat="1" ht="12.75">
      <c r="A75" s="35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100"/>
      <c r="AE75" s="3"/>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353"/>
      <c r="BQ75" s="353"/>
      <c r="BR75" s="353"/>
      <c r="BS75" s="353"/>
      <c r="BT75" s="358"/>
      <c r="BU75"/>
      <c r="BV75" s="4"/>
    </row>
    <row r="76" spans="1:74" s="5" customFormat="1" ht="12.75">
      <c r="A76" s="35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100"/>
      <c r="AE76" s="3"/>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353"/>
      <c r="BQ76" s="353"/>
      <c r="BR76" s="353"/>
      <c r="BS76" s="353"/>
      <c r="BT76" s="358"/>
      <c r="BU76"/>
      <c r="BV76" s="4"/>
    </row>
    <row r="77" spans="1:74" s="5" customFormat="1" ht="12.75">
      <c r="A77" s="35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353"/>
      <c r="BQ77" s="353"/>
      <c r="BR77" s="353"/>
      <c r="BS77" s="353"/>
      <c r="BT77" s="358"/>
      <c r="BU77"/>
      <c r="BV77" s="4"/>
    </row>
    <row r="78" spans="1:74" s="5" customFormat="1" ht="12.75">
      <c r="A78" s="35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353"/>
      <c r="BQ78" s="353"/>
      <c r="BR78" s="353"/>
      <c r="BS78" s="353"/>
      <c r="BT78" s="358"/>
      <c r="BU78"/>
      <c r="BV78" s="4"/>
    </row>
    <row r="79" spans="1:74" s="5" customFormat="1" ht="12.75">
      <c r="A79" s="35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353"/>
      <c r="BQ79" s="353"/>
      <c r="BR79" s="353"/>
      <c r="BS79" s="353"/>
      <c r="BT79" s="358"/>
      <c r="BU79"/>
      <c r="BV79" s="4"/>
    </row>
    <row r="80" spans="1:74" s="5" customFormat="1" ht="12.75">
      <c r="A80" s="35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353"/>
      <c r="BQ80" s="353"/>
      <c r="BR80" s="353"/>
      <c r="BS80" s="353"/>
      <c r="BT80" s="358"/>
      <c r="BU80"/>
      <c r="BV80" s="4"/>
    </row>
    <row r="81" spans="1:74" s="5" customFormat="1" ht="12.75">
      <c r="A81" s="35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353"/>
      <c r="BQ81" s="353"/>
      <c r="BR81" s="353"/>
      <c r="BS81" s="353"/>
      <c r="BT81" s="358"/>
      <c r="BU81"/>
      <c r="BV81" s="4"/>
    </row>
    <row r="82" spans="1:74" s="5" customFormat="1" ht="12.75">
      <c r="A82" s="35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353"/>
      <c r="BQ82" s="353"/>
      <c r="BR82" s="353"/>
      <c r="BS82" s="353"/>
      <c r="BT82" s="358"/>
      <c r="BU82"/>
      <c r="BV82" s="4"/>
    </row>
    <row r="83" spans="1:74" s="5" customFormat="1" ht="12.75">
      <c r="A83" s="35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353"/>
      <c r="BQ83" s="353"/>
      <c r="BR83" s="353"/>
      <c r="BS83" s="353"/>
      <c r="BT83" s="358"/>
      <c r="BU83"/>
      <c r="BV83" s="4"/>
    </row>
    <row r="84" spans="1:74" s="5" customFormat="1" ht="12.75">
      <c r="A84" s="35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353"/>
      <c r="BQ84" s="353"/>
      <c r="BR84" s="353"/>
      <c r="BS84" s="353"/>
      <c r="BT84" s="358"/>
      <c r="BU84"/>
      <c r="BV84" s="4"/>
    </row>
    <row r="85" spans="1:74" s="5" customFormat="1" ht="12.75">
      <c r="A85" s="35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353"/>
      <c r="BQ85" s="353"/>
      <c r="BR85" s="353"/>
      <c r="BS85" s="353"/>
      <c r="BT85" s="358"/>
      <c r="BU85"/>
      <c r="BV85" s="4"/>
    </row>
    <row r="86" spans="1:76" s="5" customFormat="1" ht="12.75">
      <c r="A86" s="35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353"/>
      <c r="BQ86" s="353"/>
      <c r="BR86" s="353"/>
      <c r="BS86" s="353"/>
      <c r="BT86" s="358"/>
      <c r="BU86"/>
      <c r="BV86" s="4"/>
      <c r="BW86" s="4"/>
      <c r="BX86" s="4"/>
    </row>
    <row r="87" spans="1:76" s="5" customFormat="1" ht="12.75">
      <c r="A87" s="35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353"/>
      <c r="BQ87" s="353"/>
      <c r="BR87" s="353"/>
      <c r="BS87" s="353"/>
      <c r="BT87" s="358"/>
      <c r="BU87"/>
      <c r="BV87" s="4"/>
      <c r="BW87" s="4"/>
      <c r="BX87" s="4"/>
    </row>
    <row r="88" spans="1:76" s="5" customFormat="1" ht="12.75">
      <c r="A88" s="35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353"/>
      <c r="BQ88" s="353"/>
      <c r="BR88" s="353"/>
      <c r="BS88" s="353"/>
      <c r="BT88" s="358"/>
      <c r="BU88"/>
      <c r="BV88" s="4"/>
      <c r="BW88" s="4"/>
      <c r="BX88" s="4"/>
    </row>
    <row r="89" spans="1:76" s="5" customFormat="1" ht="12.75">
      <c r="A89" s="35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353"/>
      <c r="BQ89" s="353"/>
      <c r="BR89" s="353"/>
      <c r="BS89" s="353"/>
      <c r="BT89" s="358"/>
      <c r="BU89"/>
      <c r="BV89" s="4"/>
      <c r="BW89" s="4"/>
      <c r="BX89" s="4"/>
    </row>
    <row r="90" spans="1:76" s="5" customFormat="1" ht="12.75">
      <c r="A90" s="35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353"/>
      <c r="BQ90" s="353"/>
      <c r="BR90" s="353"/>
      <c r="BS90" s="353"/>
      <c r="BT90" s="358"/>
      <c r="BU90"/>
      <c r="BV90" s="4"/>
      <c r="BW90" s="4"/>
      <c r="BX90" s="4"/>
    </row>
    <row r="91" spans="1:76" s="5" customFormat="1" ht="12.75">
      <c r="A91" s="35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353"/>
      <c r="BQ91" s="353"/>
      <c r="BR91" s="353"/>
      <c r="BS91" s="353"/>
      <c r="BT91" s="358"/>
      <c r="BU91"/>
      <c r="BV91" s="4"/>
      <c r="BW91" s="4"/>
      <c r="BX91" s="4"/>
    </row>
    <row r="92" spans="1:76" s="5" customFormat="1" ht="12.75">
      <c r="A92" s="35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353"/>
      <c r="BQ92" s="353"/>
      <c r="BR92" s="353"/>
      <c r="BS92" s="353"/>
      <c r="BT92" s="358"/>
      <c r="BU92"/>
      <c r="BV92" s="4"/>
      <c r="BW92" s="4"/>
      <c r="BX92" s="4"/>
    </row>
    <row r="93" spans="1:76" s="5" customFormat="1" ht="12.75">
      <c r="A93" s="35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353"/>
      <c r="BQ93" s="353"/>
      <c r="BR93" s="353"/>
      <c r="BS93" s="353"/>
      <c r="BT93" s="358"/>
      <c r="BU93"/>
      <c r="BV93" s="4"/>
      <c r="BW93" s="4"/>
      <c r="BX93" s="4"/>
    </row>
    <row r="94" spans="1:76" s="5" customFormat="1" ht="12.75">
      <c r="A94" s="35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353"/>
      <c r="BQ94" s="353"/>
      <c r="BR94" s="353"/>
      <c r="BS94" s="353"/>
      <c r="BT94" s="358"/>
      <c r="BU94"/>
      <c r="BV94" s="4"/>
      <c r="BW94" s="4"/>
      <c r="BX94" s="4"/>
    </row>
    <row r="95" spans="1:76" s="5" customFormat="1" ht="12.75">
      <c r="A95" s="35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353"/>
      <c r="BQ95" s="353"/>
      <c r="BR95" s="353"/>
      <c r="BS95" s="353"/>
      <c r="BT95" s="358"/>
      <c r="BU95"/>
      <c r="BV95" s="4"/>
      <c r="BW95" s="4"/>
      <c r="BX95" s="4"/>
    </row>
    <row r="96" spans="1:76" s="5" customFormat="1" ht="12.75">
      <c r="A96" s="35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353"/>
      <c r="BQ96" s="353"/>
      <c r="BR96" s="353"/>
      <c r="BS96" s="353"/>
      <c r="BT96" s="358"/>
      <c r="BU96"/>
      <c r="BV96" s="4"/>
      <c r="BW96" s="4"/>
      <c r="BX96" s="4"/>
    </row>
    <row r="97" spans="1:76" s="5" customFormat="1" ht="12.75">
      <c r="A97" s="35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353"/>
      <c r="BQ97" s="353"/>
      <c r="BR97" s="353"/>
      <c r="BS97" s="353"/>
      <c r="BT97" s="358"/>
      <c r="BU97"/>
      <c r="BV97" s="4"/>
      <c r="BW97" s="4"/>
      <c r="BX97" s="4"/>
    </row>
    <row r="98" spans="1:76" s="5" customFormat="1" ht="12.75">
      <c r="A98" s="35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353"/>
      <c r="BQ98" s="353"/>
      <c r="BR98" s="353"/>
      <c r="BS98" s="353"/>
      <c r="BT98" s="358"/>
      <c r="BU98"/>
      <c r="BV98" s="4"/>
      <c r="BW98" s="4"/>
      <c r="BX98" s="4"/>
    </row>
    <row r="99" spans="1:76" s="5" customFormat="1" ht="12.75">
      <c r="A99" s="35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353"/>
      <c r="BQ99" s="353"/>
      <c r="BR99" s="353"/>
      <c r="BS99" s="353"/>
      <c r="BT99" s="358"/>
      <c r="BU99"/>
      <c r="BV99" s="4"/>
      <c r="BW99" s="4"/>
      <c r="BX99" s="4"/>
    </row>
    <row r="100" spans="1:76" s="5" customFormat="1" ht="12.75">
      <c r="A100" s="35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353"/>
      <c r="BQ100" s="353"/>
      <c r="BR100" s="353"/>
      <c r="BS100" s="353"/>
      <c r="BT100" s="358"/>
      <c r="BU100"/>
      <c r="BV100" s="4"/>
      <c r="BW100" s="4"/>
      <c r="BX100" s="4"/>
    </row>
    <row r="101" spans="1:76" s="5" customFormat="1" ht="12.75">
      <c r="A101" s="354"/>
      <c r="B101" s="94"/>
      <c r="C101" s="94"/>
      <c r="D101" s="94"/>
      <c r="E101" s="94"/>
      <c r="F101" s="94"/>
      <c r="G101" s="94"/>
      <c r="H101" s="94"/>
      <c r="I101" s="94"/>
      <c r="J101" s="94"/>
      <c r="K101" s="94"/>
      <c r="L101" s="94"/>
      <c r="M101" s="94"/>
      <c r="N101" s="94"/>
      <c r="O101" s="94"/>
      <c r="P101" s="94"/>
      <c r="Q101" s="94" t="s">
        <v>14</v>
      </c>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353"/>
      <c r="BQ101" s="353"/>
      <c r="BR101" s="353"/>
      <c r="BS101" s="353"/>
      <c r="BT101" s="358"/>
      <c r="BU101"/>
      <c r="BV101" s="4"/>
      <c r="BW101" s="4"/>
      <c r="BX101" s="4"/>
    </row>
    <row r="102" spans="1:76" s="5" customFormat="1" ht="12.75">
      <c r="A102" s="35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353"/>
      <c r="BQ102" s="353"/>
      <c r="BR102" s="353"/>
      <c r="BS102" s="353"/>
      <c r="BT102" s="358"/>
      <c r="BU102"/>
      <c r="BV102" s="4"/>
      <c r="BW102" s="4"/>
      <c r="BX102" s="4"/>
    </row>
    <row r="103" spans="1:76" s="5" customFormat="1" ht="12.75">
      <c r="A103" s="35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353"/>
      <c r="BQ103" s="353"/>
      <c r="BR103" s="353"/>
      <c r="BS103" s="353"/>
      <c r="BT103" s="358"/>
      <c r="BU103"/>
      <c r="BV103" s="4"/>
      <c r="BW103" s="4"/>
      <c r="BX103" s="4"/>
    </row>
    <row r="104" spans="1:112" s="5" customFormat="1" ht="12.75">
      <c r="A104" s="360"/>
      <c r="B104" s="361"/>
      <c r="C104" s="361"/>
      <c r="D104" s="361"/>
      <c r="E104" s="361"/>
      <c r="F104" s="361"/>
      <c r="G104" s="361"/>
      <c r="H104" s="361"/>
      <c r="I104" s="361"/>
      <c r="J104" s="361"/>
      <c r="K104" s="361"/>
      <c r="L104" s="361"/>
      <c r="M104" s="361"/>
      <c r="N104" s="361"/>
      <c r="O104" s="361"/>
      <c r="P104" s="361"/>
      <c r="Q104" s="361"/>
      <c r="R104" s="361"/>
      <c r="S104" s="361"/>
      <c r="T104" s="361"/>
      <c r="U104" s="361"/>
      <c r="V104" s="361"/>
      <c r="W104" s="361"/>
      <c r="X104" s="361"/>
      <c r="Y104" s="361"/>
      <c r="Z104" s="361"/>
      <c r="AA104" s="361"/>
      <c r="AB104" s="361"/>
      <c r="AC104" s="361"/>
      <c r="AD104" s="361"/>
      <c r="AE104" s="361"/>
      <c r="AF104" s="361"/>
      <c r="AG104" s="361"/>
      <c r="AH104" s="361"/>
      <c r="AI104" s="361"/>
      <c r="AJ104" s="361"/>
      <c r="AK104" s="361"/>
      <c r="AL104" s="361"/>
      <c r="AM104" s="361"/>
      <c r="AN104" s="361"/>
      <c r="AO104" s="361"/>
      <c r="AP104" s="361"/>
      <c r="AQ104" s="361"/>
      <c r="AR104" s="361"/>
      <c r="AS104" s="361"/>
      <c r="AT104" s="361"/>
      <c r="AU104" s="361"/>
      <c r="AV104" s="361"/>
      <c r="AW104" s="361"/>
      <c r="AX104" s="361"/>
      <c r="AY104" s="361"/>
      <c r="AZ104" s="361"/>
      <c r="BA104" s="361"/>
      <c r="BB104" s="361"/>
      <c r="BC104" s="361"/>
      <c r="BD104" s="361"/>
      <c r="BE104" s="361"/>
      <c r="BF104" s="361"/>
      <c r="BG104" s="361"/>
      <c r="BH104" s="361"/>
      <c r="BI104" s="361"/>
      <c r="BJ104" s="361"/>
      <c r="BK104" s="361"/>
      <c r="BL104" s="361"/>
      <c r="BM104" s="361"/>
      <c r="BN104" s="361"/>
      <c r="BO104" s="361"/>
      <c r="BP104" s="362"/>
      <c r="BQ104" s="362"/>
      <c r="BR104" s="362"/>
      <c r="BS104" s="362"/>
      <c r="BT104" s="363"/>
      <c r="BU104"/>
      <c r="BV104" s="4"/>
      <c r="BW104" s="4"/>
      <c r="BX104" s="4"/>
      <c r="BY104" s="4"/>
      <c r="BZ104" s="4"/>
      <c r="CA104" s="4"/>
      <c r="DG104" s="157"/>
      <c r="DH104" s="157"/>
    </row>
    <row r="105" spans="1:163" s="5" customFormat="1" ht="12" hidden="1">
      <c r="A105" s="156">
        <v>1</v>
      </c>
      <c r="B105" s="4"/>
      <c r="D105" s="4"/>
      <c r="E105" s="5" t="s">
        <v>25</v>
      </c>
      <c r="M105" s="5" t="s">
        <v>26</v>
      </c>
      <c r="P105" s="5" t="s">
        <v>27</v>
      </c>
      <c r="X105" s="112"/>
      <c r="Y105" s="112"/>
      <c r="Z105" s="112" t="s">
        <v>28</v>
      </c>
      <c r="AA105" s="112"/>
      <c r="AB105" s="112"/>
      <c r="AC105" s="112"/>
      <c r="AD105" s="112"/>
      <c r="AE105" s="112"/>
      <c r="AF105" s="112"/>
      <c r="AG105" s="112"/>
      <c r="AH105" s="112"/>
      <c r="AI105" s="112"/>
      <c r="AJ105" s="112"/>
      <c r="AK105" s="112"/>
      <c r="AL105" s="112"/>
      <c r="AO105" s="5" t="s">
        <v>29</v>
      </c>
      <c r="DD105" s="91" t="s">
        <v>30</v>
      </c>
      <c r="DE105" s="92"/>
      <c r="DF105" s="92"/>
      <c r="DG105" s="92"/>
      <c r="DH105" s="92"/>
      <c r="DI105" s="92"/>
      <c r="DJ105" s="92"/>
      <c r="DK105" s="92"/>
      <c r="DL105" s="92"/>
      <c r="DM105" s="92"/>
      <c r="DN105" s="92"/>
      <c r="DO105" s="92"/>
      <c r="DP105" s="93"/>
      <c r="EA105" s="91"/>
      <c r="EB105" s="155" t="s">
        <v>31</v>
      </c>
      <c r="EC105" s="293"/>
      <c r="ED105" s="485" t="s">
        <v>32</v>
      </c>
      <c r="EE105" s="482"/>
      <c r="EF105" s="152" t="s">
        <v>33</v>
      </c>
      <c r="EG105" s="482" t="s">
        <v>34</v>
      </c>
      <c r="EH105" s="482"/>
      <c r="EI105" s="152" t="s">
        <v>35</v>
      </c>
      <c r="EJ105" s="152" t="s">
        <v>33</v>
      </c>
      <c r="EK105" s="482" t="s">
        <v>36</v>
      </c>
      <c r="EL105" s="482"/>
      <c r="EM105" s="152" t="s">
        <v>33</v>
      </c>
      <c r="EN105" s="482" t="s">
        <v>37</v>
      </c>
      <c r="EO105" s="482"/>
      <c r="EP105" s="482" t="s">
        <v>38</v>
      </c>
      <c r="EQ105" s="483"/>
      <c r="ER105" s="161"/>
      <c r="FB105" s="160" t="s">
        <v>39</v>
      </c>
      <c r="FC105" s="485" t="s">
        <v>40</v>
      </c>
      <c r="FD105" s="483"/>
      <c r="FE105" s="239" t="s">
        <v>41</v>
      </c>
      <c r="FF105" s="92"/>
      <c r="FG105" s="93"/>
    </row>
    <row r="106" spans="1:160" s="5" customFormat="1" ht="12" hidden="1">
      <c r="A106" s="156">
        <f aca="true" t="shared" si="0" ref="A106:A169">A105</f>
        <v>1</v>
      </c>
      <c r="B106" s="4"/>
      <c r="D106" s="4"/>
      <c r="E106" s="53" t="str">
        <f>N7</f>
        <v>--scegli il tipo d'imposta --►</v>
      </c>
      <c r="F106" s="53"/>
      <c r="G106" s="53"/>
      <c r="H106" s="53"/>
      <c r="I106" s="53"/>
      <c r="J106" s="53"/>
      <c r="K106" s="53"/>
      <c r="P106" s="54" t="s">
        <v>3</v>
      </c>
      <c r="Q106" s="54"/>
      <c r="R106" s="54"/>
      <c r="S106" s="54"/>
      <c r="T106" s="54"/>
      <c r="U106" s="54"/>
      <c r="V106" s="54"/>
      <c r="X106" s="113"/>
      <c r="Y106" s="114"/>
      <c r="Z106" s="110" t="str">
        <f>IF(LEFT(E106,1)="0"," ","--scegli il codice tributo --►")</f>
        <v>--scegli il codice tributo --►</v>
      </c>
      <c r="AA106" s="110"/>
      <c r="AB106" s="110"/>
      <c r="AC106" s="110"/>
      <c r="AD106" s="110"/>
      <c r="AE106" s="110"/>
      <c r="AF106" s="110"/>
      <c r="AG106" s="110"/>
      <c r="AH106" s="110"/>
      <c r="AI106" s="110"/>
      <c r="AJ106" s="110"/>
      <c r="AK106" s="110"/>
      <c r="AL106" s="111"/>
      <c r="DN106" s="62" t="s">
        <v>42</v>
      </c>
      <c r="DO106" s="379">
        <f>SUM(DO110:DP412)</f>
        <v>0</v>
      </c>
      <c r="DP106" s="380"/>
      <c r="EB106" s="294">
        <f>IF(LEFT(E106,3)="INF",1,0)</f>
        <v>0</v>
      </c>
      <c r="EC106" s="62"/>
      <c r="ED106" s="484">
        <f>SUM(ED110:ED412)</f>
        <v>0</v>
      </c>
      <c r="EE106" s="484"/>
      <c r="EF106" s="151">
        <f>SUM(EF110:EF412)</f>
        <v>0</v>
      </c>
      <c r="EG106" s="484">
        <f>SUM(EG110:EH412)</f>
        <v>0</v>
      </c>
      <c r="EH106" s="484"/>
      <c r="EI106" s="151">
        <f>SUM(EI110:EI412)</f>
        <v>0</v>
      </c>
      <c r="EJ106" s="151">
        <f>SUM(EJ110:EJ412)</f>
        <v>0</v>
      </c>
      <c r="EK106" s="484">
        <f>SUM(EK110:EL412)</f>
        <v>0</v>
      </c>
      <c r="EL106" s="484"/>
      <c r="EM106" s="151">
        <f>SUM(EM110:EM412)</f>
        <v>0</v>
      </c>
      <c r="EN106" s="484">
        <f>SUM(EN110:EO412)</f>
        <v>0</v>
      </c>
      <c r="EO106" s="484"/>
      <c r="EP106" s="484">
        <f>SUM(EP110:EQ412)</f>
        <v>0</v>
      </c>
      <c r="EQ106" s="484"/>
      <c r="ER106" s="162"/>
      <c r="EU106" s="162"/>
      <c r="FB106" s="151">
        <f>SUM(FB110:FB412)</f>
        <v>0</v>
      </c>
      <c r="FC106" s="685" t="str">
        <f>IF(FC108&lt;10,CONCATENATE("000",FC108),CONCATENATE("00",FC108))</f>
        <v>0000</v>
      </c>
      <c r="FD106" s="685"/>
    </row>
    <row r="107" spans="1:108" s="5" customFormat="1" ht="12" hidden="1">
      <c r="A107" s="156">
        <f t="shared" si="0"/>
        <v>1</v>
      </c>
      <c r="B107" s="4"/>
      <c r="D107" s="4"/>
      <c r="E107" s="53" t="str">
        <f aca="true" t="shared" si="1" ref="E107:E136">E106</f>
        <v>--scegli il tipo d'imposta --►</v>
      </c>
      <c r="F107" s="53"/>
      <c r="G107" s="53"/>
      <c r="H107" s="53"/>
      <c r="I107" s="53"/>
      <c r="J107" s="53"/>
      <c r="K107" s="53"/>
      <c r="M107" s="53" t="str">
        <f>LEFT(N9,4)</f>
        <v>--sc</v>
      </c>
      <c r="N107" s="53"/>
      <c r="P107" s="54" t="s">
        <v>43</v>
      </c>
      <c r="Q107" s="54"/>
      <c r="R107" s="54"/>
      <c r="S107" s="54"/>
      <c r="T107" s="54"/>
      <c r="U107" s="54"/>
      <c r="V107" s="54"/>
      <c r="X107" s="113">
        <f>IF(LEFT(E107,3)="IVA",DD110,IF(RIGHT(E107,3)="TTE",DD144,IF(LEFT(E107,3)="SOS",DD178,IF(LEFT(E107,3)="INF",DD212,IF(LEFT(E107,3)="RAT",DD246,IF(LEFT(E107,3)="IMU",DD280,IF(LEFT(E107,3)="LOC",DD314,"")))))))</f>
      </c>
      <c r="Y107" s="114" t="str">
        <f>IF(LEFT(E107,1)="0"," ",IF(LEFT(E107,1)="-","-▼",IF(LEFT(E107,3)="ALT",DD348,IF(RIGHT(E107,3)="IVE",DD382,""))))</f>
        <v>-▼</v>
      </c>
      <c r="Z107" s="110" t="str">
        <f aca="true" t="shared" si="2" ref="Z107:Z136">CONCATENATE(X107,Y107)</f>
        <v>-▼</v>
      </c>
      <c r="AA107" s="110"/>
      <c r="AB107" s="110"/>
      <c r="AC107" s="110"/>
      <c r="AD107" s="110"/>
      <c r="AE107" s="110"/>
      <c r="AF107" s="110"/>
      <c r="AG107" s="110"/>
      <c r="AH107" s="110"/>
      <c r="AI107" s="110"/>
      <c r="AJ107" s="110"/>
      <c r="AK107" s="110"/>
      <c r="AL107" s="111"/>
      <c r="AO107" s="5" t="s">
        <v>44</v>
      </c>
      <c r="AS107" s="548">
        <f>ED106</f>
        <v>0</v>
      </c>
      <c r="AT107" s="548"/>
      <c r="AU107" s="548"/>
      <c r="AV107" s="62" t="s">
        <v>33</v>
      </c>
      <c r="AW107" s="446">
        <f>EF106</f>
        <v>0</v>
      </c>
      <c r="AX107" s="446"/>
      <c r="AY107" s="446" t="s">
        <v>45</v>
      </c>
      <c r="AZ107" s="446"/>
      <c r="BA107" s="446"/>
      <c r="BB107" s="446"/>
      <c r="BC107" s="55"/>
      <c r="BD107" s="55"/>
      <c r="BE107" s="55"/>
      <c r="BF107" s="55"/>
      <c r="BG107" s="55"/>
      <c r="BH107" s="55"/>
      <c r="BI107" s="335" t="s">
        <v>46</v>
      </c>
      <c r="BK107" s="335">
        <f>MID(X25,3,10)</f>
      </c>
      <c r="BM107" s="334" t="str">
        <f>RIGHT(CONCATENATE("0",DAY(Z25)),2)</f>
        <v>00</v>
      </c>
      <c r="BN107" s="334" t="str">
        <f>RIGHT(CONCATENATE("0",MONTH(Z25)),2)</f>
        <v>01</v>
      </c>
      <c r="BO107" s="333">
        <f>YEAR(Z25)</f>
        <v>1900</v>
      </c>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row>
    <row r="108" spans="1:164" s="5" customFormat="1" ht="12" hidden="1">
      <c r="A108" s="156">
        <f t="shared" si="0"/>
        <v>1</v>
      </c>
      <c r="B108" s="4"/>
      <c r="D108" s="4"/>
      <c r="E108" s="53" t="str">
        <f t="shared" si="1"/>
        <v>--scegli il tipo d'imposta --►</v>
      </c>
      <c r="F108" s="53"/>
      <c r="G108" s="53"/>
      <c r="H108" s="53"/>
      <c r="I108" s="53"/>
      <c r="J108" s="53"/>
      <c r="K108" s="53"/>
      <c r="M108" s="53" t="str">
        <f aca="true" t="shared" si="3" ref="M108:M136">M107</f>
        <v>--sc</v>
      </c>
      <c r="N108" s="53"/>
      <c r="P108" s="54" t="s">
        <v>47</v>
      </c>
      <c r="Q108" s="54"/>
      <c r="R108" s="54"/>
      <c r="S108" s="54"/>
      <c r="T108" s="54"/>
      <c r="U108" s="54"/>
      <c r="V108" s="54"/>
      <c r="X108" s="113">
        <f aca="true" t="shared" si="4" ref="X108:X136">IF(LEFT(E108,3)="IVA",DD111,IF(RIGHT(E108,3)="TTE",DD145,IF(LEFT(E108,3)="SOS",DD179,IF(LEFT(E108,3)="INF",DD213,IF(LEFT(E108,3)="RAT",DD247,IF(LEFT(E108,3)="IMU",DD281,IF(LEFT(E108,3)="LOC",DD315,"")))))))</f>
      </c>
      <c r="Y108" s="114" t="str">
        <f aca="true" t="shared" si="5" ref="Y108:Y136">IF(LEFT(E108,1)="0"," ",IF(LEFT(E108,1)="-","-▼",IF(LEFT(E108,3)="ALT",DD349,IF(RIGHT(E108,3)="IVE",DD383,""))))</f>
        <v>-▼</v>
      </c>
      <c r="Z108" s="110" t="str">
        <f t="shared" si="2"/>
        <v>-▼</v>
      </c>
      <c r="AA108" s="110"/>
      <c r="AB108" s="110"/>
      <c r="AC108" s="110"/>
      <c r="AD108" s="110"/>
      <c r="AE108" s="110"/>
      <c r="AF108" s="110"/>
      <c r="AG108" s="110"/>
      <c r="AH108" s="110"/>
      <c r="AI108" s="110"/>
      <c r="AJ108" s="110"/>
      <c r="AK108" s="110"/>
      <c r="AL108" s="111"/>
      <c r="AO108" s="5" t="s">
        <v>12</v>
      </c>
      <c r="AS108" s="548">
        <f>EG106</f>
        <v>0</v>
      </c>
      <c r="AT108" s="548"/>
      <c r="AU108" s="548"/>
      <c r="AV108" s="62" t="s">
        <v>33</v>
      </c>
      <c r="AW108" s="446">
        <f>EJ106</f>
        <v>0</v>
      </c>
      <c r="AX108" s="446"/>
      <c r="AY108" s="55"/>
      <c r="AZ108" s="55">
        <f>EI106</f>
        <v>0</v>
      </c>
      <c r="BA108" s="55">
        <f>FB106</f>
        <v>0</v>
      </c>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115" t="str">
        <f>P107</f>
        <v>IVA e BOLLO</v>
      </c>
      <c r="DE108" s="116"/>
      <c r="DF108" s="116"/>
      <c r="DG108" s="116"/>
      <c r="DH108" s="116"/>
      <c r="DI108" s="116"/>
      <c r="DJ108" s="116"/>
      <c r="DK108" s="116"/>
      <c r="DL108" s="116"/>
      <c r="DM108" s="116"/>
      <c r="DN108" s="116"/>
      <c r="DO108" s="116"/>
      <c r="DP108" s="117"/>
      <c r="DQ108" s="397" t="s">
        <v>32</v>
      </c>
      <c r="DR108" s="397"/>
      <c r="DS108" s="52" t="s">
        <v>33</v>
      </c>
      <c r="DT108" s="397" t="s">
        <v>34</v>
      </c>
      <c r="DU108" s="397"/>
      <c r="DV108" s="52" t="s">
        <v>48</v>
      </c>
      <c r="DW108" s="52" t="s">
        <v>33</v>
      </c>
      <c r="DX108" s="397" t="s">
        <v>36</v>
      </c>
      <c r="DY108" s="397"/>
      <c r="DZ108" s="52" t="s">
        <v>33</v>
      </c>
      <c r="EA108" s="4" t="s">
        <v>49</v>
      </c>
      <c r="EB108" s="4" t="s">
        <v>49</v>
      </c>
      <c r="EC108" s="4" t="s">
        <v>49</v>
      </c>
      <c r="ED108" s="397" t="s">
        <v>32</v>
      </c>
      <c r="EE108" s="397"/>
      <c r="EF108" s="52" t="s">
        <v>33</v>
      </c>
      <c r="EG108" s="397" t="s">
        <v>34</v>
      </c>
      <c r="EH108" s="397"/>
      <c r="EI108" s="52" t="s">
        <v>35</v>
      </c>
      <c r="EJ108" s="52" t="s">
        <v>33</v>
      </c>
      <c r="EK108" s="397" t="s">
        <v>36</v>
      </c>
      <c r="EL108" s="397"/>
      <c r="EM108" s="52" t="s">
        <v>33</v>
      </c>
      <c r="EN108" s="397" t="s">
        <v>37</v>
      </c>
      <c r="EO108" s="397"/>
      <c r="EP108" s="397" t="s">
        <v>38</v>
      </c>
      <c r="EQ108" s="397"/>
      <c r="ER108" s="397" t="s">
        <v>38</v>
      </c>
      <c r="ES108" s="397"/>
      <c r="ET108" s="397" t="s">
        <v>38</v>
      </c>
      <c r="EU108" s="397"/>
      <c r="EV108" s="395">
        <f>EX108-1</f>
        <v>2018</v>
      </c>
      <c r="EW108" s="395"/>
      <c r="EX108" s="395">
        <f>EZ108-1</f>
        <v>2019</v>
      </c>
      <c r="EY108" s="395"/>
      <c r="EZ108" s="479">
        <f>YEAR(X14)</f>
        <v>2020</v>
      </c>
      <c r="FA108" s="479"/>
      <c r="FB108" s="52" t="s">
        <v>39</v>
      </c>
      <c r="FC108" s="480">
        <f>SUM(FC110:FD412)</f>
        <v>0</v>
      </c>
      <c r="FD108" s="481"/>
      <c r="FE108" s="5">
        <f>IF(FG108=2017,28,30)</f>
        <v>30</v>
      </c>
      <c r="FF108" s="5">
        <f>IF(OR(FG108=2015,FG108=2016),9,IF(FG108=2017,2,4))</f>
        <v>4</v>
      </c>
      <c r="FG108" s="396">
        <f>IF(YEAR(X13)=YEAR(X14),YEAR(X14)+1,YEAR(X14))</f>
        <v>2020</v>
      </c>
      <c r="FH108" s="396"/>
    </row>
    <row r="109" spans="1:151" s="5" customFormat="1" ht="12" hidden="1">
      <c r="A109" s="156">
        <f t="shared" si="0"/>
        <v>1</v>
      </c>
      <c r="B109" s="4"/>
      <c r="D109" s="4"/>
      <c r="E109" s="53" t="str">
        <f t="shared" si="1"/>
        <v>--scegli il tipo d'imposta --►</v>
      </c>
      <c r="F109" s="53"/>
      <c r="G109" s="53"/>
      <c r="H109" s="53"/>
      <c r="I109" s="53"/>
      <c r="J109" s="53"/>
      <c r="K109" s="53"/>
      <c r="M109" s="53" t="str">
        <f t="shared" si="3"/>
        <v>--sc</v>
      </c>
      <c r="N109" s="53"/>
      <c r="P109" s="54" t="s">
        <v>50</v>
      </c>
      <c r="Q109" s="54"/>
      <c r="R109" s="54"/>
      <c r="S109" s="54"/>
      <c r="T109" s="54"/>
      <c r="U109" s="54"/>
      <c r="V109" s="54"/>
      <c r="X109" s="113">
        <f t="shared" si="4"/>
      </c>
      <c r="Y109" s="114" t="str">
        <f t="shared" si="5"/>
        <v>-▼</v>
      </c>
      <c r="Z109" s="110" t="str">
        <f t="shared" si="2"/>
        <v>-▼</v>
      </c>
      <c r="AA109" s="110"/>
      <c r="AB109" s="110"/>
      <c r="AC109" s="110"/>
      <c r="AD109" s="110"/>
      <c r="AE109" s="110"/>
      <c r="AF109" s="110"/>
      <c r="AG109" s="110"/>
      <c r="AH109" s="110"/>
      <c r="AI109" s="110"/>
      <c r="AJ109" s="110"/>
      <c r="AK109" s="110"/>
      <c r="AL109" s="111"/>
      <c r="AO109" s="5" t="s">
        <v>13</v>
      </c>
      <c r="AS109" s="548">
        <f>EK106</f>
        <v>0</v>
      </c>
      <c r="AT109" s="548"/>
      <c r="AU109" s="548"/>
      <c r="AV109" s="62" t="s">
        <v>33</v>
      </c>
      <c r="AW109" s="446">
        <f>EM106</f>
        <v>0</v>
      </c>
      <c r="AX109" s="446"/>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row>
    <row r="110" spans="1:162" s="5" customFormat="1" ht="12" hidden="1">
      <c r="A110" s="156">
        <f t="shared" si="0"/>
        <v>1</v>
      </c>
      <c r="B110" s="4"/>
      <c r="D110" s="4"/>
      <c r="E110" s="53" t="str">
        <f t="shared" si="1"/>
        <v>--scegli il tipo d'imposta --►</v>
      </c>
      <c r="F110" s="53"/>
      <c r="G110" s="53"/>
      <c r="H110" s="53"/>
      <c r="I110" s="53"/>
      <c r="J110" s="53"/>
      <c r="K110" s="53"/>
      <c r="M110" s="53" t="str">
        <f t="shared" si="3"/>
        <v>--sc</v>
      </c>
      <c r="N110" s="53"/>
      <c r="P110" s="54" t="s">
        <v>51</v>
      </c>
      <c r="Q110" s="54"/>
      <c r="R110" s="54"/>
      <c r="S110" s="54"/>
      <c r="T110" s="54"/>
      <c r="U110" s="54"/>
      <c r="V110" s="54"/>
      <c r="X110" s="113">
        <f t="shared" si="4"/>
      </c>
      <c r="Y110" s="114" t="str">
        <f t="shared" si="5"/>
        <v>-▼</v>
      </c>
      <c r="Z110" s="110" t="str">
        <f t="shared" si="2"/>
        <v>-▼</v>
      </c>
      <c r="AA110" s="110"/>
      <c r="AB110" s="110"/>
      <c r="AC110" s="110"/>
      <c r="AD110" s="110"/>
      <c r="AE110" s="110"/>
      <c r="AF110" s="110"/>
      <c r="AG110" s="110"/>
      <c r="AH110" s="110"/>
      <c r="AI110" s="110"/>
      <c r="AJ110" s="110"/>
      <c r="AK110" s="110"/>
      <c r="AL110" s="111"/>
      <c r="AV110" s="62" t="s">
        <v>52</v>
      </c>
      <c r="AW110" s="446">
        <f>MIN(AW107,AW108,AW109)</f>
        <v>0</v>
      </c>
      <c r="AX110" s="446"/>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c r="CK110"/>
      <c r="CL110"/>
      <c r="CM110"/>
      <c r="CN110"/>
      <c r="CO110"/>
      <c r="CP110"/>
      <c r="CQ110"/>
      <c r="CR110"/>
      <c r="CS110"/>
      <c r="CT110"/>
      <c r="CU110"/>
      <c r="CV110"/>
      <c r="CW110"/>
      <c r="CX110"/>
      <c r="CY110"/>
      <c r="CZ110"/>
      <c r="DA110"/>
      <c r="DB110"/>
      <c r="DC110"/>
      <c r="DD110" s="56" t="s">
        <v>53</v>
      </c>
      <c r="DE110" s="56"/>
      <c r="DF110" s="56"/>
      <c r="DG110" s="56"/>
      <c r="DH110" s="56"/>
      <c r="DI110" s="56"/>
      <c r="DJ110" s="56"/>
      <c r="DK110" s="56"/>
      <c r="DL110" s="56"/>
      <c r="DM110" s="56"/>
      <c r="DN110" s="56"/>
      <c r="DO110" s="56"/>
      <c r="DP110" s="56"/>
      <c r="DQ110" s="378" t="str">
        <f aca="true" t="shared" si="6" ref="DQ110:DQ131">LEFT(DD110,4)</f>
        <v>6001</v>
      </c>
      <c r="DR110" s="378"/>
      <c r="DS110" s="57">
        <v>2</v>
      </c>
      <c r="DT110" s="378" t="s">
        <v>54</v>
      </c>
      <c r="DU110" s="378"/>
      <c r="DV110" s="57">
        <v>1</v>
      </c>
      <c r="DW110" s="57">
        <v>2</v>
      </c>
      <c r="DX110" s="378">
        <v>1991</v>
      </c>
      <c r="DY110" s="378"/>
      <c r="DZ110" s="57">
        <v>2</v>
      </c>
      <c r="EA110" s="58">
        <f>C421</f>
        <v>1</v>
      </c>
      <c r="EB110" s="58">
        <f>1-EB106</f>
        <v>1</v>
      </c>
      <c r="EC110" s="58">
        <f aca="true" t="shared" si="7" ref="EC110:EC131">IF(M107=DQ110,1,0)*EA110*EB110</f>
        <v>0</v>
      </c>
      <c r="ED110" s="378">
        <f aca="true" t="shared" si="8" ref="ED110:ED131">DQ110*EC110</f>
        <v>0</v>
      </c>
      <c r="EE110" s="378"/>
      <c r="EF110" s="57">
        <f aca="true" t="shared" si="9" ref="EF110:EF131">DS110*EC110</f>
        <v>0</v>
      </c>
      <c r="EG110" s="378">
        <f aca="true" t="shared" si="10" ref="EG110:EG131">DT110*EC110</f>
        <v>0</v>
      </c>
      <c r="EH110" s="378"/>
      <c r="EI110" s="57">
        <f aca="true" t="shared" si="11" ref="EI110:EI131">DV110*EC110</f>
        <v>0</v>
      </c>
      <c r="EJ110" s="57">
        <f aca="true" t="shared" si="12" ref="EJ110:EJ131">DW110*EC110</f>
        <v>0</v>
      </c>
      <c r="EK110" s="378">
        <f aca="true" t="shared" si="13" ref="EK110:EK131">DX110*EC110</f>
        <v>0</v>
      </c>
      <c r="EL110" s="378"/>
      <c r="EM110" s="57">
        <f aca="true" t="shared" si="14" ref="EM110:EM131">DZ110*EC110</f>
        <v>0</v>
      </c>
      <c r="EN110" s="378">
        <v>0</v>
      </c>
      <c r="EO110" s="378"/>
      <c r="EP110" s="378">
        <f aca="true" t="shared" si="15" ref="EP110:EP120">IF(ER110&lt;&gt;0,EC110*ER110,0)</f>
        <v>0</v>
      </c>
      <c r="EQ110" s="378"/>
      <c r="ER110" s="385">
        <f>IF(X13&lt;&gt;"",YEAR(X13),0)</f>
        <v>0</v>
      </c>
      <c r="ES110" s="385"/>
      <c r="ET110" s="378">
        <f aca="true" t="shared" si="16" ref="ET110:ET131">EC110*ER110</f>
        <v>0</v>
      </c>
      <c r="EU110" s="378"/>
      <c r="EV110" s="82"/>
      <c r="EW110" s="82"/>
      <c r="EX110" s="82"/>
      <c r="EY110" s="82"/>
      <c r="EZ110" s="82"/>
      <c r="FA110" s="82"/>
      <c r="FB110" s="82"/>
      <c r="FC110" s="240"/>
      <c r="FD110" s="241"/>
      <c r="FE110" s="55">
        <v>4</v>
      </c>
      <c r="FF110" s="159" t="s">
        <v>55</v>
      </c>
    </row>
    <row r="111" spans="1:162" s="5" customFormat="1" ht="12" hidden="1">
      <c r="A111" s="156">
        <f t="shared" si="0"/>
        <v>1</v>
      </c>
      <c r="B111" s="4"/>
      <c r="D111" s="4"/>
      <c r="E111" s="53" t="str">
        <f t="shared" si="1"/>
        <v>--scegli il tipo d'imposta --►</v>
      </c>
      <c r="F111" s="53"/>
      <c r="G111" s="53"/>
      <c r="H111" s="53"/>
      <c r="I111" s="53"/>
      <c r="J111" s="53"/>
      <c r="K111" s="53"/>
      <c r="M111" s="53" t="str">
        <f t="shared" si="3"/>
        <v>--sc</v>
      </c>
      <c r="N111" s="53"/>
      <c r="P111" s="54" t="s">
        <v>56</v>
      </c>
      <c r="Q111" s="54"/>
      <c r="R111" s="54"/>
      <c r="S111" s="54"/>
      <c r="T111" s="54"/>
      <c r="U111" s="54"/>
      <c r="V111" s="54"/>
      <c r="X111" s="113">
        <f t="shared" si="4"/>
      </c>
      <c r="Y111" s="114" t="str">
        <f t="shared" si="5"/>
        <v>-▼</v>
      </c>
      <c r="Z111" s="110" t="str">
        <f t="shared" si="2"/>
        <v>-▼</v>
      </c>
      <c r="AA111" s="110"/>
      <c r="AB111" s="110"/>
      <c r="AC111" s="110"/>
      <c r="AD111" s="110"/>
      <c r="AE111" s="110"/>
      <c r="AF111" s="110"/>
      <c r="AG111" s="110"/>
      <c r="AH111" s="110"/>
      <c r="AI111" s="110"/>
      <c r="AJ111" s="110"/>
      <c r="AK111" s="110"/>
      <c r="AL111" s="111"/>
      <c r="AV111" s="62" t="s">
        <v>57</v>
      </c>
      <c r="AW111" s="446">
        <f>MAX(AW107,AW108,AW109)</f>
        <v>0</v>
      </c>
      <c r="AX111" s="446"/>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c r="CK111"/>
      <c r="CL111"/>
      <c r="CM111"/>
      <c r="CN111"/>
      <c r="CO111"/>
      <c r="CP111"/>
      <c r="CQ111"/>
      <c r="CR111"/>
      <c r="CS111"/>
      <c r="CT111"/>
      <c r="CU111"/>
      <c r="CV111"/>
      <c r="CW111"/>
      <c r="CX111"/>
      <c r="CY111"/>
      <c r="CZ111"/>
      <c r="DA111"/>
      <c r="DB111"/>
      <c r="DC111"/>
      <c r="DD111" s="56" t="s">
        <v>58</v>
      </c>
      <c r="DE111" s="56"/>
      <c r="DF111" s="56"/>
      <c r="DG111" s="56"/>
      <c r="DH111" s="56"/>
      <c r="DI111" s="56"/>
      <c r="DJ111" s="56"/>
      <c r="DK111" s="56"/>
      <c r="DL111" s="56"/>
      <c r="DM111" s="56"/>
      <c r="DN111" s="56"/>
      <c r="DO111" s="56"/>
      <c r="DP111" s="56"/>
      <c r="DQ111" s="378" t="str">
        <f t="shared" si="6"/>
        <v>6002</v>
      </c>
      <c r="DR111" s="378"/>
      <c r="DS111" s="57">
        <v>2</v>
      </c>
      <c r="DT111" s="378" t="s">
        <v>54</v>
      </c>
      <c r="DU111" s="378"/>
      <c r="DV111" s="57">
        <v>1</v>
      </c>
      <c r="DW111" s="57">
        <v>2</v>
      </c>
      <c r="DX111" s="378">
        <v>1991</v>
      </c>
      <c r="DY111" s="378"/>
      <c r="DZ111" s="57">
        <v>2</v>
      </c>
      <c r="EA111" s="58">
        <f aca="true" t="shared" si="17" ref="EA111:EA131">EA110</f>
        <v>1</v>
      </c>
      <c r="EB111" s="58">
        <f aca="true" t="shared" si="18" ref="EB111:EB131">EB110</f>
        <v>1</v>
      </c>
      <c r="EC111" s="58">
        <f t="shared" si="7"/>
        <v>0</v>
      </c>
      <c r="ED111" s="378">
        <f t="shared" si="8"/>
        <v>0</v>
      </c>
      <c r="EE111" s="378"/>
      <c r="EF111" s="57">
        <f t="shared" si="9"/>
        <v>0</v>
      </c>
      <c r="EG111" s="378">
        <f t="shared" si="10"/>
        <v>0</v>
      </c>
      <c r="EH111" s="378"/>
      <c r="EI111" s="57">
        <f t="shared" si="11"/>
        <v>0</v>
      </c>
      <c r="EJ111" s="57">
        <f t="shared" si="12"/>
        <v>0</v>
      </c>
      <c r="EK111" s="378">
        <f t="shared" si="13"/>
        <v>0</v>
      </c>
      <c r="EL111" s="378"/>
      <c r="EM111" s="57">
        <f t="shared" si="14"/>
        <v>0</v>
      </c>
      <c r="EN111" s="378">
        <v>0</v>
      </c>
      <c r="EO111" s="378"/>
      <c r="EP111" s="378">
        <f t="shared" si="15"/>
        <v>0</v>
      </c>
      <c r="EQ111" s="378"/>
      <c r="ER111" s="385">
        <f aca="true" t="shared" si="19" ref="ER111:ER131">ER110</f>
        <v>0</v>
      </c>
      <c r="ES111" s="385"/>
      <c r="ET111" s="378">
        <f t="shared" si="16"/>
        <v>0</v>
      </c>
      <c r="EU111" s="378"/>
      <c r="EV111" s="82"/>
      <c r="EW111" s="82"/>
      <c r="EX111" s="82"/>
      <c r="EY111" s="82"/>
      <c r="EZ111" s="82"/>
      <c r="FA111" s="82"/>
      <c r="FB111" s="82"/>
      <c r="FC111" s="242"/>
      <c r="FD111" s="243"/>
      <c r="FE111" s="55">
        <v>3</v>
      </c>
      <c r="FF111" s="159" t="s">
        <v>59</v>
      </c>
    </row>
    <row r="112" spans="1:162" s="5" customFormat="1" ht="12" hidden="1">
      <c r="A112" s="156">
        <f t="shared" si="0"/>
        <v>1</v>
      </c>
      <c r="B112" s="4"/>
      <c r="D112" s="4"/>
      <c r="E112" s="53" t="str">
        <f t="shared" si="1"/>
        <v>--scegli il tipo d'imposta --►</v>
      </c>
      <c r="F112" s="53"/>
      <c r="G112" s="53"/>
      <c r="H112" s="53"/>
      <c r="I112" s="53"/>
      <c r="J112" s="53"/>
      <c r="K112" s="53"/>
      <c r="M112" s="53" t="str">
        <f t="shared" si="3"/>
        <v>--sc</v>
      </c>
      <c r="N112" s="53"/>
      <c r="P112" s="54" t="s">
        <v>60</v>
      </c>
      <c r="Q112" s="54"/>
      <c r="R112" s="54"/>
      <c r="S112" s="54"/>
      <c r="T112" s="54"/>
      <c r="U112" s="54"/>
      <c r="V112" s="54"/>
      <c r="X112" s="113">
        <f t="shared" si="4"/>
      </c>
      <c r="Y112" s="114" t="str">
        <f t="shared" si="5"/>
        <v>-▼</v>
      </c>
      <c r="Z112" s="110" t="str">
        <f t="shared" si="2"/>
        <v>-▼</v>
      </c>
      <c r="AA112" s="110"/>
      <c r="AB112" s="110"/>
      <c r="AC112" s="110"/>
      <c r="AD112" s="110"/>
      <c r="AE112" s="110"/>
      <c r="AF112" s="110"/>
      <c r="AG112" s="110"/>
      <c r="AH112" s="110"/>
      <c r="AI112" s="110"/>
      <c r="AJ112" s="110"/>
      <c r="AK112" s="110"/>
      <c r="AL112" s="111"/>
      <c r="AO112" s="446" t="str">
        <f>IF(AW107=0,AO107,IF(AW107=1,CONCATENATE(AS107,"T"),AS107))</f>
        <v>TRIBUTO</v>
      </c>
      <c r="AP112" s="446"/>
      <c r="AQ112" s="446"/>
      <c r="AR112" s="446"/>
      <c r="AS112" s="547" t="str">
        <f>IF(OR(X13="",X14="",X13&gt;=X14,BH154&gt;0,D421=0,D422=0),"----------",IF(AW107=0,X17,IF(X11=0,X17,X17+IF(AS108=AS107,X18,0)+IF(AS109=AS107,X19,0))))</f>
        <v>----------</v>
      </c>
      <c r="AT112" s="446"/>
      <c r="AU112" s="446"/>
      <c r="AV112" s="446"/>
      <c r="AW112" s="446">
        <f>AW107</f>
        <v>0</v>
      </c>
      <c r="AX112" s="446"/>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c r="CK112"/>
      <c r="CL112"/>
      <c r="CM112"/>
      <c r="CN112"/>
      <c r="CO112"/>
      <c r="CP112"/>
      <c r="CQ112"/>
      <c r="CR112"/>
      <c r="CS112"/>
      <c r="CT112"/>
      <c r="CU112"/>
      <c r="CV112"/>
      <c r="CW112"/>
      <c r="CX112"/>
      <c r="CY112"/>
      <c r="CZ112"/>
      <c r="DA112"/>
      <c r="DB112"/>
      <c r="DC112"/>
      <c r="DD112" s="56" t="s">
        <v>61</v>
      </c>
      <c r="DE112" s="56"/>
      <c r="DF112" s="56"/>
      <c r="DG112" s="56"/>
      <c r="DH112" s="56"/>
      <c r="DI112" s="56"/>
      <c r="DJ112" s="56"/>
      <c r="DK112" s="56"/>
      <c r="DL112" s="56"/>
      <c r="DM112" s="56"/>
      <c r="DN112" s="56"/>
      <c r="DO112" s="56"/>
      <c r="DP112" s="56"/>
      <c r="DQ112" s="378" t="str">
        <f t="shared" si="6"/>
        <v>6003</v>
      </c>
      <c r="DR112" s="378"/>
      <c r="DS112" s="57">
        <v>2</v>
      </c>
      <c r="DT112" s="378" t="s">
        <v>54</v>
      </c>
      <c r="DU112" s="378"/>
      <c r="DV112" s="57">
        <v>1</v>
      </c>
      <c r="DW112" s="57">
        <v>2</v>
      </c>
      <c r="DX112" s="378">
        <v>1991</v>
      </c>
      <c r="DY112" s="378"/>
      <c r="DZ112" s="57">
        <v>2</v>
      </c>
      <c r="EA112" s="58">
        <f t="shared" si="17"/>
        <v>1</v>
      </c>
      <c r="EB112" s="58">
        <f t="shared" si="18"/>
        <v>1</v>
      </c>
      <c r="EC112" s="58">
        <f t="shared" si="7"/>
        <v>0</v>
      </c>
      <c r="ED112" s="378">
        <f t="shared" si="8"/>
        <v>0</v>
      </c>
      <c r="EE112" s="378"/>
      <c r="EF112" s="57">
        <f t="shared" si="9"/>
        <v>0</v>
      </c>
      <c r="EG112" s="378">
        <f t="shared" si="10"/>
        <v>0</v>
      </c>
      <c r="EH112" s="378"/>
      <c r="EI112" s="57">
        <f t="shared" si="11"/>
        <v>0</v>
      </c>
      <c r="EJ112" s="57">
        <f t="shared" si="12"/>
        <v>0</v>
      </c>
      <c r="EK112" s="378">
        <f t="shared" si="13"/>
        <v>0</v>
      </c>
      <c r="EL112" s="378"/>
      <c r="EM112" s="57">
        <f t="shared" si="14"/>
        <v>0</v>
      </c>
      <c r="EN112" s="378">
        <v>0</v>
      </c>
      <c r="EO112" s="378"/>
      <c r="EP112" s="378">
        <f t="shared" si="15"/>
        <v>0</v>
      </c>
      <c r="EQ112" s="378"/>
      <c r="ER112" s="385">
        <f t="shared" si="19"/>
        <v>0</v>
      </c>
      <c r="ES112" s="385"/>
      <c r="ET112" s="378">
        <f t="shared" si="16"/>
        <v>0</v>
      </c>
      <c r="EU112" s="378"/>
      <c r="EV112" s="82"/>
      <c r="EW112" s="82"/>
      <c r="EX112" s="82"/>
      <c r="EY112" s="82"/>
      <c r="EZ112" s="82"/>
      <c r="FA112" s="82"/>
      <c r="FB112" s="82"/>
      <c r="FC112" s="242"/>
      <c r="FD112" s="243"/>
      <c r="FE112" s="55">
        <v>2</v>
      </c>
      <c r="FF112" s="159" t="s">
        <v>62</v>
      </c>
    </row>
    <row r="113" spans="1:162" s="5" customFormat="1" ht="12" hidden="1">
      <c r="A113" s="156">
        <f t="shared" si="0"/>
        <v>1</v>
      </c>
      <c r="B113" s="4"/>
      <c r="D113" s="4"/>
      <c r="E113" s="53" t="str">
        <f t="shared" si="1"/>
        <v>--scegli il tipo d'imposta --►</v>
      </c>
      <c r="F113" s="53"/>
      <c r="G113" s="53"/>
      <c r="H113" s="53"/>
      <c r="I113" s="53"/>
      <c r="J113" s="53"/>
      <c r="K113" s="53"/>
      <c r="M113" s="53" t="str">
        <f t="shared" si="3"/>
        <v>--sc</v>
      </c>
      <c r="N113" s="53"/>
      <c r="P113" s="54" t="s">
        <v>63</v>
      </c>
      <c r="Q113" s="54"/>
      <c r="R113" s="54"/>
      <c r="S113" s="54"/>
      <c r="T113" s="54"/>
      <c r="U113" s="54"/>
      <c r="V113" s="54"/>
      <c r="X113" s="113">
        <f t="shared" si="4"/>
      </c>
      <c r="Y113" s="114" t="str">
        <f t="shared" si="5"/>
        <v>-▼</v>
      </c>
      <c r="Z113" s="110" t="str">
        <f t="shared" si="2"/>
        <v>-▼</v>
      </c>
      <c r="AA113" s="110"/>
      <c r="AB113" s="110"/>
      <c r="AC113" s="110"/>
      <c r="AD113" s="110"/>
      <c r="AE113" s="110"/>
      <c r="AF113" s="110"/>
      <c r="AG113" s="110"/>
      <c r="AH113" s="110"/>
      <c r="AI113" s="110"/>
      <c r="AJ113" s="110"/>
      <c r="AK113" s="110"/>
      <c r="AL113" s="111"/>
      <c r="AO113" s="446" t="str">
        <f>IF(AW108=0,AO108,IF(AW108=1,CONCATENATE(AS108,"T"),IF(AW108=22,CONCATENATE(AS108,"T"),AS108)))</f>
        <v>SANZIONE</v>
      </c>
      <c r="AP113" s="446"/>
      <c r="AQ113" s="446"/>
      <c r="AR113" s="446"/>
      <c r="AS113" s="547" t="str">
        <f>IF(AW108=0,X18,IF(AS108=AS107,0,X18))</f>
        <v>----------</v>
      </c>
      <c r="AT113" s="446"/>
      <c r="AU113" s="446"/>
      <c r="AV113" s="446"/>
      <c r="AW113" s="446">
        <f>IF(AS113=0,0,AW108)</f>
        <v>0</v>
      </c>
      <c r="AX113" s="446"/>
      <c r="AY113" s="153" t="str">
        <f>IF(AO113="671T","Sanz.Pecuniaria Imp.Registro",IF(AO113="675T","Sanz.Pecuniaria Imp.Bollo",IF(AO113="678T","Sanz.Pecun.Tasse Conc.Govern."," ")))</f>
        <v> </v>
      </c>
      <c r="AZ113" s="154"/>
      <c r="BA113" s="154"/>
      <c r="BB113" s="154"/>
      <c r="BC113" s="154"/>
      <c r="BD113" s="154"/>
      <c r="BE113" s="154"/>
      <c r="BF113" s="154"/>
      <c r="BG113" s="1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c r="CK113"/>
      <c r="CL113"/>
      <c r="CM113"/>
      <c r="CN113"/>
      <c r="CO113"/>
      <c r="CP113"/>
      <c r="CQ113"/>
      <c r="CR113"/>
      <c r="CS113"/>
      <c r="CT113"/>
      <c r="CU113"/>
      <c r="CV113"/>
      <c r="CW113"/>
      <c r="CX113"/>
      <c r="CY113"/>
      <c r="CZ113"/>
      <c r="DA113"/>
      <c r="DB113"/>
      <c r="DC113"/>
      <c r="DD113" s="56" t="s">
        <v>64</v>
      </c>
      <c r="DE113" s="56"/>
      <c r="DF113" s="56"/>
      <c r="DG113" s="56"/>
      <c r="DH113" s="56"/>
      <c r="DI113" s="56"/>
      <c r="DJ113" s="56"/>
      <c r="DK113" s="56"/>
      <c r="DL113" s="56"/>
      <c r="DM113" s="56"/>
      <c r="DN113" s="56"/>
      <c r="DO113" s="56"/>
      <c r="DP113" s="56"/>
      <c r="DQ113" s="378" t="str">
        <f t="shared" si="6"/>
        <v>6004</v>
      </c>
      <c r="DR113" s="378"/>
      <c r="DS113" s="57">
        <v>2</v>
      </c>
      <c r="DT113" s="378" t="s">
        <v>54</v>
      </c>
      <c r="DU113" s="378"/>
      <c r="DV113" s="57">
        <v>1</v>
      </c>
      <c r="DW113" s="57">
        <v>2</v>
      </c>
      <c r="DX113" s="378">
        <v>1991</v>
      </c>
      <c r="DY113" s="378"/>
      <c r="DZ113" s="57">
        <v>2</v>
      </c>
      <c r="EA113" s="58">
        <f t="shared" si="17"/>
        <v>1</v>
      </c>
      <c r="EB113" s="58">
        <f t="shared" si="18"/>
        <v>1</v>
      </c>
      <c r="EC113" s="58">
        <f t="shared" si="7"/>
        <v>0</v>
      </c>
      <c r="ED113" s="378">
        <f t="shared" si="8"/>
        <v>0</v>
      </c>
      <c r="EE113" s="378"/>
      <c r="EF113" s="57">
        <f t="shared" si="9"/>
        <v>0</v>
      </c>
      <c r="EG113" s="378">
        <f t="shared" si="10"/>
        <v>0</v>
      </c>
      <c r="EH113" s="378"/>
      <c r="EI113" s="57">
        <f t="shared" si="11"/>
        <v>0</v>
      </c>
      <c r="EJ113" s="57">
        <f t="shared" si="12"/>
        <v>0</v>
      </c>
      <c r="EK113" s="378">
        <f t="shared" si="13"/>
        <v>0</v>
      </c>
      <c r="EL113" s="378"/>
      <c r="EM113" s="57">
        <f t="shared" si="14"/>
        <v>0</v>
      </c>
      <c r="EN113" s="378">
        <v>0</v>
      </c>
      <c r="EO113" s="378"/>
      <c r="EP113" s="378">
        <f t="shared" si="15"/>
        <v>0</v>
      </c>
      <c r="EQ113" s="378"/>
      <c r="ER113" s="385">
        <f t="shared" si="19"/>
        <v>0</v>
      </c>
      <c r="ES113" s="385"/>
      <c r="ET113" s="378">
        <f t="shared" si="16"/>
        <v>0</v>
      </c>
      <c r="EU113" s="378"/>
      <c r="EV113" s="82"/>
      <c r="EW113" s="82"/>
      <c r="EX113" s="82"/>
      <c r="EY113" s="82"/>
      <c r="EZ113" s="82"/>
      <c r="FA113" s="82"/>
      <c r="FB113" s="82"/>
      <c r="FC113" s="242"/>
      <c r="FD113" s="243"/>
      <c r="FE113" s="55">
        <v>1</v>
      </c>
      <c r="FF113" s="159" t="s">
        <v>65</v>
      </c>
    </row>
    <row r="114" spans="1:165" s="5" customFormat="1" ht="12" hidden="1">
      <c r="A114" s="156">
        <f t="shared" si="0"/>
        <v>1</v>
      </c>
      <c r="B114" s="4"/>
      <c r="D114" s="4"/>
      <c r="E114" s="53" t="str">
        <f t="shared" si="1"/>
        <v>--scegli il tipo d'imposta --►</v>
      </c>
      <c r="F114" s="53"/>
      <c r="G114" s="53"/>
      <c r="H114" s="53"/>
      <c r="I114" s="53"/>
      <c r="J114" s="53"/>
      <c r="K114" s="53"/>
      <c r="M114" s="53" t="str">
        <f t="shared" si="3"/>
        <v>--sc</v>
      </c>
      <c r="N114" s="53"/>
      <c r="P114" s="54" t="s">
        <v>66</v>
      </c>
      <c r="Q114" s="54"/>
      <c r="R114" s="54"/>
      <c r="S114" s="54"/>
      <c r="T114" s="54"/>
      <c r="U114" s="54"/>
      <c r="V114" s="54"/>
      <c r="X114" s="113">
        <f t="shared" si="4"/>
      </c>
      <c r="Y114" s="114" t="str">
        <f t="shared" si="5"/>
        <v>-▼</v>
      </c>
      <c r="Z114" s="110" t="str">
        <f t="shared" si="2"/>
        <v>-▼</v>
      </c>
      <c r="AA114" s="110"/>
      <c r="AB114" s="110"/>
      <c r="AC114" s="110"/>
      <c r="AD114" s="110"/>
      <c r="AE114" s="110"/>
      <c r="AF114" s="110"/>
      <c r="AG114" s="110"/>
      <c r="AH114" s="110"/>
      <c r="AI114" s="110"/>
      <c r="AJ114" s="110"/>
      <c r="AK114" s="110"/>
      <c r="AL114" s="111"/>
      <c r="AO114" s="446" t="str">
        <f>IF(AW109=0,AO109,IF(AW109=1,CONCATENATE(AS109,"T"),AS109))</f>
        <v>INTERESSI</v>
      </c>
      <c r="AP114" s="446"/>
      <c r="AQ114" s="446"/>
      <c r="AR114" s="446"/>
      <c r="AS114" s="547" t="str">
        <f>IF(AW109=0,X19,IF(AS109=AS107,0,X19))</f>
        <v>----------</v>
      </c>
      <c r="AT114" s="446"/>
      <c r="AU114" s="446"/>
      <c r="AV114" s="446"/>
      <c r="AW114" s="446">
        <f>IF(AS114=0,0,AW109)</f>
        <v>0</v>
      </c>
      <c r="AX114" s="446"/>
      <c r="AY114" s="153" t="str">
        <f>IF(AO114="731T","Interessi su Tasse e II.II."," ")</f>
        <v> </v>
      </c>
      <c r="AZ114" s="154"/>
      <c r="BA114" s="154"/>
      <c r="BB114" s="154"/>
      <c r="BC114" s="154"/>
      <c r="BD114" s="154"/>
      <c r="BE114" s="154"/>
      <c r="BF114" s="154"/>
      <c r="BG114" s="1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c r="CK114"/>
      <c r="CL114"/>
      <c r="CM114"/>
      <c r="CN114"/>
      <c r="CO114"/>
      <c r="CP114"/>
      <c r="CQ114"/>
      <c r="CR114"/>
      <c r="CS114"/>
      <c r="CT114"/>
      <c r="CU114"/>
      <c r="CV114"/>
      <c r="CW114"/>
      <c r="CX114"/>
      <c r="CY114"/>
      <c r="CZ114"/>
      <c r="DA114"/>
      <c r="DB114"/>
      <c r="DC114"/>
      <c r="DD114" s="56" t="s">
        <v>67</v>
      </c>
      <c r="DE114" s="56"/>
      <c r="DF114" s="56"/>
      <c r="DG114" s="56"/>
      <c r="DH114" s="56"/>
      <c r="DI114" s="56"/>
      <c r="DJ114" s="56"/>
      <c r="DK114" s="56"/>
      <c r="DL114" s="56"/>
      <c r="DM114" s="56"/>
      <c r="DN114" s="56"/>
      <c r="DO114" s="56"/>
      <c r="DP114" s="56"/>
      <c r="DQ114" s="378" t="str">
        <f t="shared" si="6"/>
        <v>6005</v>
      </c>
      <c r="DR114" s="378"/>
      <c r="DS114" s="57">
        <v>2</v>
      </c>
      <c r="DT114" s="378" t="s">
        <v>54</v>
      </c>
      <c r="DU114" s="378"/>
      <c r="DV114" s="57">
        <v>1</v>
      </c>
      <c r="DW114" s="57">
        <v>2</v>
      </c>
      <c r="DX114" s="378">
        <v>1991</v>
      </c>
      <c r="DY114" s="378"/>
      <c r="DZ114" s="57">
        <v>2</v>
      </c>
      <c r="EA114" s="58">
        <f t="shared" si="17"/>
        <v>1</v>
      </c>
      <c r="EB114" s="58">
        <f t="shared" si="18"/>
        <v>1</v>
      </c>
      <c r="EC114" s="58">
        <f t="shared" si="7"/>
        <v>0</v>
      </c>
      <c r="ED114" s="378">
        <f t="shared" si="8"/>
        <v>0</v>
      </c>
      <c r="EE114" s="378"/>
      <c r="EF114" s="57">
        <f t="shared" si="9"/>
        <v>0</v>
      </c>
      <c r="EG114" s="378">
        <f t="shared" si="10"/>
        <v>0</v>
      </c>
      <c r="EH114" s="378"/>
      <c r="EI114" s="57">
        <f t="shared" si="11"/>
        <v>0</v>
      </c>
      <c r="EJ114" s="57">
        <f t="shared" si="12"/>
        <v>0</v>
      </c>
      <c r="EK114" s="378">
        <f t="shared" si="13"/>
        <v>0</v>
      </c>
      <c r="EL114" s="378"/>
      <c r="EM114" s="57">
        <f t="shared" si="14"/>
        <v>0</v>
      </c>
      <c r="EN114" s="378">
        <v>0</v>
      </c>
      <c r="EO114" s="378"/>
      <c r="EP114" s="378">
        <f t="shared" si="15"/>
        <v>0</v>
      </c>
      <c r="EQ114" s="378"/>
      <c r="ER114" s="385">
        <f t="shared" si="19"/>
        <v>0</v>
      </c>
      <c r="ES114" s="385"/>
      <c r="ET114" s="378">
        <f t="shared" si="16"/>
        <v>0</v>
      </c>
      <c r="EU114" s="378"/>
      <c r="EV114" s="82"/>
      <c r="EW114" s="82"/>
      <c r="EX114" s="82"/>
      <c r="EY114" s="82"/>
      <c r="EZ114" s="82"/>
      <c r="FA114" s="82"/>
      <c r="FB114" s="82"/>
      <c r="FC114" s="242"/>
      <c r="FD114" s="243"/>
      <c r="FE114" s="394">
        <f>DATE(FG108,FF108,FE108)+IF(WEEKDAY(DATE(FG108,FF108,FE108),2)=6,2,IF(WEEKDAY(DATE(FG108,FF108,FE108),2)=7,1,0))</f>
        <v>43951</v>
      </c>
      <c r="FF114" s="394"/>
      <c r="FG114" s="394"/>
      <c r="FH114" s="394"/>
      <c r="FI114" s="159" t="s">
        <v>68</v>
      </c>
    </row>
    <row r="115" spans="1:165" s="5" customFormat="1" ht="12" hidden="1">
      <c r="A115" s="156">
        <f t="shared" si="0"/>
        <v>1</v>
      </c>
      <c r="B115" s="4"/>
      <c r="D115" s="4"/>
      <c r="E115" s="53" t="str">
        <f t="shared" si="1"/>
        <v>--scegli il tipo d'imposta --►</v>
      </c>
      <c r="F115" s="53"/>
      <c r="G115" s="53"/>
      <c r="H115" s="53"/>
      <c r="I115" s="53"/>
      <c r="J115" s="53"/>
      <c r="K115" s="53"/>
      <c r="M115" s="53" t="str">
        <f t="shared" si="3"/>
        <v>--sc</v>
      </c>
      <c r="N115" s="53"/>
      <c r="P115" s="54" t="s">
        <v>69</v>
      </c>
      <c r="Q115" s="54"/>
      <c r="R115" s="54"/>
      <c r="S115" s="54"/>
      <c r="T115" s="54"/>
      <c r="U115" s="54"/>
      <c r="V115" s="54"/>
      <c r="X115" s="113">
        <f t="shared" si="4"/>
      </c>
      <c r="Y115" s="114" t="str">
        <f t="shared" si="5"/>
        <v>-▼</v>
      </c>
      <c r="Z115" s="110" t="str">
        <f t="shared" si="2"/>
        <v>-▼</v>
      </c>
      <c r="AA115" s="110"/>
      <c r="AB115" s="110"/>
      <c r="AC115" s="110"/>
      <c r="AD115" s="110"/>
      <c r="AE115" s="110"/>
      <c r="AF115" s="110"/>
      <c r="AG115" s="110"/>
      <c r="AH115" s="110"/>
      <c r="AI115" s="110"/>
      <c r="AJ115" s="110"/>
      <c r="AK115" s="110"/>
      <c r="AL115" s="111"/>
      <c r="CJ115"/>
      <c r="CK115"/>
      <c r="CL115"/>
      <c r="CM115"/>
      <c r="CN115"/>
      <c r="CO115"/>
      <c r="CP115"/>
      <c r="CQ115"/>
      <c r="CR115"/>
      <c r="CS115"/>
      <c r="CT115"/>
      <c r="CU115"/>
      <c r="CV115"/>
      <c r="CW115"/>
      <c r="CX115"/>
      <c r="CY115"/>
      <c r="CZ115"/>
      <c r="DA115"/>
      <c r="DB115"/>
      <c r="DC115"/>
      <c r="DD115" s="56" t="s">
        <v>70</v>
      </c>
      <c r="DE115" s="56"/>
      <c r="DF115" s="56"/>
      <c r="DG115" s="56"/>
      <c r="DH115" s="56"/>
      <c r="DI115" s="56"/>
      <c r="DJ115" s="56"/>
      <c r="DK115" s="56"/>
      <c r="DL115" s="56"/>
      <c r="DM115" s="56"/>
      <c r="DN115" s="56"/>
      <c r="DO115" s="56"/>
      <c r="DP115" s="56"/>
      <c r="DQ115" s="378" t="str">
        <f t="shared" si="6"/>
        <v>6006</v>
      </c>
      <c r="DR115" s="378"/>
      <c r="DS115" s="57">
        <v>2</v>
      </c>
      <c r="DT115" s="378" t="s">
        <v>54</v>
      </c>
      <c r="DU115" s="378"/>
      <c r="DV115" s="57">
        <v>1</v>
      </c>
      <c r="DW115" s="57">
        <v>2</v>
      </c>
      <c r="DX115" s="378">
        <v>1991</v>
      </c>
      <c r="DY115" s="378"/>
      <c r="DZ115" s="57">
        <v>2</v>
      </c>
      <c r="EA115" s="58">
        <f t="shared" si="17"/>
        <v>1</v>
      </c>
      <c r="EB115" s="58">
        <f t="shared" si="18"/>
        <v>1</v>
      </c>
      <c r="EC115" s="58">
        <f t="shared" si="7"/>
        <v>0</v>
      </c>
      <c r="ED115" s="378">
        <f t="shared" si="8"/>
        <v>0</v>
      </c>
      <c r="EE115" s="378"/>
      <c r="EF115" s="57">
        <f t="shared" si="9"/>
        <v>0</v>
      </c>
      <c r="EG115" s="378">
        <f t="shared" si="10"/>
        <v>0</v>
      </c>
      <c r="EH115" s="378"/>
      <c r="EI115" s="57">
        <f t="shared" si="11"/>
        <v>0</v>
      </c>
      <c r="EJ115" s="57">
        <f t="shared" si="12"/>
        <v>0</v>
      </c>
      <c r="EK115" s="378">
        <f t="shared" si="13"/>
        <v>0</v>
      </c>
      <c r="EL115" s="378"/>
      <c r="EM115" s="57">
        <f t="shared" si="14"/>
        <v>0</v>
      </c>
      <c r="EN115" s="378">
        <v>0</v>
      </c>
      <c r="EO115" s="378"/>
      <c r="EP115" s="378">
        <f t="shared" si="15"/>
        <v>0</v>
      </c>
      <c r="EQ115" s="378"/>
      <c r="ER115" s="385">
        <f t="shared" si="19"/>
        <v>0</v>
      </c>
      <c r="ES115" s="385"/>
      <c r="ET115" s="378">
        <f t="shared" si="16"/>
        <v>0</v>
      </c>
      <c r="EU115" s="378"/>
      <c r="EV115" s="82"/>
      <c r="EW115" s="82"/>
      <c r="EX115" s="82"/>
      <c r="EY115" s="82"/>
      <c r="EZ115" s="82"/>
      <c r="FA115" s="82"/>
      <c r="FB115" s="82"/>
      <c r="FC115" s="242"/>
      <c r="FD115" s="243"/>
      <c r="FI115" s="159"/>
    </row>
    <row r="116" spans="1:160" s="5" customFormat="1" ht="12" hidden="1">
      <c r="A116" s="156">
        <f t="shared" si="0"/>
        <v>1</v>
      </c>
      <c r="B116" s="4"/>
      <c r="D116" s="4"/>
      <c r="E116" s="53" t="str">
        <f t="shared" si="1"/>
        <v>--scegli il tipo d'imposta --►</v>
      </c>
      <c r="F116" s="53"/>
      <c r="G116" s="53"/>
      <c r="H116" s="53"/>
      <c r="I116" s="53"/>
      <c r="J116" s="53"/>
      <c r="K116" s="53"/>
      <c r="M116" s="53" t="str">
        <f t="shared" si="3"/>
        <v>--sc</v>
      </c>
      <c r="N116" s="53"/>
      <c r="X116" s="113">
        <f t="shared" si="4"/>
      </c>
      <c r="Y116" s="114" t="str">
        <f t="shared" si="5"/>
        <v>-▼</v>
      </c>
      <c r="Z116" s="110" t="str">
        <f t="shared" si="2"/>
        <v>-▼</v>
      </c>
      <c r="AA116" s="110"/>
      <c r="AB116" s="110"/>
      <c r="AC116" s="110"/>
      <c r="AD116" s="110"/>
      <c r="AE116" s="110"/>
      <c r="AF116" s="110"/>
      <c r="AG116" s="110"/>
      <c r="AH116" s="110"/>
      <c r="AI116" s="110"/>
      <c r="AJ116" s="110"/>
      <c r="AK116" s="110"/>
      <c r="AL116" s="111"/>
      <c r="AO116" s="5" t="s">
        <v>37</v>
      </c>
      <c r="AS116" s="435">
        <f>EN106</f>
        <v>0</v>
      </c>
      <c r="AT116" s="435"/>
      <c r="AU116" s="51"/>
      <c r="AV116" s="446" t="str">
        <f>IF(AS116=0,"        ",IF(AS116=1111,"0101",IF(AS116=9999,"NnRr",IF(AS116&gt;9,CONCATENATE("00",AS116),CONCATENATE("000",AS116)))))</f>
        <v>        </v>
      </c>
      <c r="AW116" s="446"/>
      <c r="AX116" s="446"/>
      <c r="AY116" s="55"/>
      <c r="AZ116" s="55"/>
      <c r="BA116" s="55"/>
      <c r="BB116" s="55"/>
      <c r="BC116" s="55"/>
      <c r="BD116" s="55"/>
      <c r="BE116" s="55"/>
      <c r="BF116" s="55"/>
      <c r="BG116" s="55"/>
      <c r="BH116" s="55"/>
      <c r="BI116" s="55"/>
      <c r="BZ116" s="55"/>
      <c r="CA116" s="55"/>
      <c r="CB116" s="55"/>
      <c r="CC116" s="55"/>
      <c r="CD116" s="55"/>
      <c r="CE116" s="55"/>
      <c r="CF116" s="55"/>
      <c r="CG116" s="55"/>
      <c r="CH116" s="55"/>
      <c r="CI116" s="55"/>
      <c r="CJ116"/>
      <c r="CK116"/>
      <c r="CL116"/>
      <c r="CM116"/>
      <c r="CN116"/>
      <c r="CO116"/>
      <c r="CP116"/>
      <c r="CQ116"/>
      <c r="CR116"/>
      <c r="CS116"/>
      <c r="CT116"/>
      <c r="CU116"/>
      <c r="CV116"/>
      <c r="CW116"/>
      <c r="CX116"/>
      <c r="CY116"/>
      <c r="CZ116"/>
      <c r="DA116"/>
      <c r="DB116"/>
      <c r="DC116"/>
      <c r="DD116" s="56" t="s">
        <v>71</v>
      </c>
      <c r="DE116" s="56"/>
      <c r="DF116" s="56"/>
      <c r="DG116" s="56"/>
      <c r="DH116" s="56"/>
      <c r="DI116" s="56"/>
      <c r="DJ116" s="56"/>
      <c r="DK116" s="56"/>
      <c r="DL116" s="56"/>
      <c r="DM116" s="56"/>
      <c r="DN116" s="56"/>
      <c r="DO116" s="56"/>
      <c r="DP116" s="56"/>
      <c r="DQ116" s="378" t="str">
        <f t="shared" si="6"/>
        <v>6007</v>
      </c>
      <c r="DR116" s="378"/>
      <c r="DS116" s="57">
        <v>2</v>
      </c>
      <c r="DT116" s="378" t="s">
        <v>54</v>
      </c>
      <c r="DU116" s="378"/>
      <c r="DV116" s="57">
        <v>1</v>
      </c>
      <c r="DW116" s="57">
        <v>2</v>
      </c>
      <c r="DX116" s="378">
        <v>1991</v>
      </c>
      <c r="DY116" s="378"/>
      <c r="DZ116" s="57">
        <v>2</v>
      </c>
      <c r="EA116" s="58">
        <f t="shared" si="17"/>
        <v>1</v>
      </c>
      <c r="EB116" s="58">
        <f t="shared" si="18"/>
        <v>1</v>
      </c>
      <c r="EC116" s="58">
        <f t="shared" si="7"/>
        <v>0</v>
      </c>
      <c r="ED116" s="378">
        <f t="shared" si="8"/>
        <v>0</v>
      </c>
      <c r="EE116" s="378"/>
      <c r="EF116" s="57">
        <f t="shared" si="9"/>
        <v>0</v>
      </c>
      <c r="EG116" s="378">
        <f t="shared" si="10"/>
        <v>0</v>
      </c>
      <c r="EH116" s="378"/>
      <c r="EI116" s="57">
        <f t="shared" si="11"/>
        <v>0</v>
      </c>
      <c r="EJ116" s="57">
        <f t="shared" si="12"/>
        <v>0</v>
      </c>
      <c r="EK116" s="378">
        <f t="shared" si="13"/>
        <v>0</v>
      </c>
      <c r="EL116" s="378"/>
      <c r="EM116" s="57">
        <f t="shared" si="14"/>
        <v>0</v>
      </c>
      <c r="EN116" s="378">
        <v>0</v>
      </c>
      <c r="EO116" s="378"/>
      <c r="EP116" s="378">
        <f t="shared" si="15"/>
        <v>0</v>
      </c>
      <c r="EQ116" s="378"/>
      <c r="ER116" s="385">
        <f t="shared" si="19"/>
        <v>0</v>
      </c>
      <c r="ES116" s="385"/>
      <c r="ET116" s="378">
        <f t="shared" si="16"/>
        <v>0</v>
      </c>
      <c r="EU116" s="378"/>
      <c r="EV116" s="82"/>
      <c r="EW116" s="82"/>
      <c r="EX116" s="82"/>
      <c r="EY116" s="82"/>
      <c r="EZ116" s="82"/>
      <c r="FA116" s="82"/>
      <c r="FB116" s="82"/>
      <c r="FC116" s="242"/>
      <c r="FD116" s="243"/>
    </row>
    <row r="117" spans="1:160" s="5" customFormat="1" ht="12" hidden="1">
      <c r="A117" s="156">
        <f t="shared" si="0"/>
        <v>1</v>
      </c>
      <c r="B117" s="4"/>
      <c r="D117" s="4"/>
      <c r="E117" s="53" t="str">
        <f t="shared" si="1"/>
        <v>--scegli il tipo d'imposta --►</v>
      </c>
      <c r="F117" s="53"/>
      <c r="G117" s="53"/>
      <c r="H117" s="53"/>
      <c r="I117" s="53"/>
      <c r="J117" s="53"/>
      <c r="K117" s="53"/>
      <c r="M117" s="53" t="str">
        <f t="shared" si="3"/>
        <v>--sc</v>
      </c>
      <c r="N117" s="53"/>
      <c r="X117" s="113">
        <f t="shared" si="4"/>
      </c>
      <c r="Y117" s="114" t="str">
        <f t="shared" si="5"/>
        <v>-▼</v>
      </c>
      <c r="Z117" s="110" t="str">
        <f t="shared" si="2"/>
        <v>-▼</v>
      </c>
      <c r="AA117" s="110"/>
      <c r="AB117" s="110"/>
      <c r="AC117" s="110"/>
      <c r="AD117" s="110"/>
      <c r="AE117" s="110"/>
      <c r="AF117" s="110"/>
      <c r="AG117" s="110"/>
      <c r="AH117" s="110"/>
      <c r="AI117" s="110"/>
      <c r="AJ117" s="110"/>
      <c r="AK117" s="110"/>
      <c r="AL117" s="111"/>
      <c r="AO117" s="5" t="s">
        <v>38</v>
      </c>
      <c r="AS117" s="435">
        <f>EP106</f>
        <v>0</v>
      </c>
      <c r="AT117" s="435"/>
      <c r="AU117" s="51"/>
      <c r="AV117" s="431" t="str">
        <f>IF(AS117=0,"    ",IF(AS117=9999,"AAAA",AS117))</f>
        <v>    </v>
      </c>
      <c r="AW117" s="446"/>
      <c r="AX117" s="446"/>
      <c r="AY117" s="55"/>
      <c r="AZ117" s="55"/>
      <c r="BA117" s="55"/>
      <c r="BB117" s="55"/>
      <c r="BC117" s="55"/>
      <c r="BD117" s="55"/>
      <c r="BE117" s="55"/>
      <c r="BF117" s="55"/>
      <c r="BG117" s="55"/>
      <c r="BH117" s="55"/>
      <c r="BI117" s="55"/>
      <c r="BZ117" s="55"/>
      <c r="CA117" s="55"/>
      <c r="CB117" s="55"/>
      <c r="CC117" s="55"/>
      <c r="CD117" s="55"/>
      <c r="CE117" s="55"/>
      <c r="CF117" s="55"/>
      <c r="CG117" s="55"/>
      <c r="CH117" s="55"/>
      <c r="CI117" s="55"/>
      <c r="CJ117"/>
      <c r="CK117"/>
      <c r="CL117"/>
      <c r="CM117"/>
      <c r="CN117"/>
      <c r="CO117"/>
      <c r="CP117"/>
      <c r="CQ117"/>
      <c r="CR117"/>
      <c r="CS117"/>
      <c r="CT117"/>
      <c r="CU117"/>
      <c r="CV117"/>
      <c r="CW117"/>
      <c r="CX117"/>
      <c r="CY117"/>
      <c r="CZ117"/>
      <c r="DA117"/>
      <c r="DB117"/>
      <c r="DC117"/>
      <c r="DD117" s="56" t="s">
        <v>72</v>
      </c>
      <c r="DE117" s="56"/>
      <c r="DF117" s="56"/>
      <c r="DG117" s="56"/>
      <c r="DH117" s="56"/>
      <c r="DI117" s="56"/>
      <c r="DJ117" s="56"/>
      <c r="DK117" s="56"/>
      <c r="DL117" s="56"/>
      <c r="DM117" s="56"/>
      <c r="DN117" s="56"/>
      <c r="DO117" s="56"/>
      <c r="DP117" s="56"/>
      <c r="DQ117" s="378" t="str">
        <f t="shared" si="6"/>
        <v>6008</v>
      </c>
      <c r="DR117" s="378"/>
      <c r="DS117" s="57">
        <v>2</v>
      </c>
      <c r="DT117" s="378" t="s">
        <v>54</v>
      </c>
      <c r="DU117" s="378"/>
      <c r="DV117" s="57">
        <v>1</v>
      </c>
      <c r="DW117" s="57">
        <v>2</v>
      </c>
      <c r="DX117" s="378">
        <v>1991</v>
      </c>
      <c r="DY117" s="378"/>
      <c r="DZ117" s="57">
        <v>2</v>
      </c>
      <c r="EA117" s="58">
        <f t="shared" si="17"/>
        <v>1</v>
      </c>
      <c r="EB117" s="58">
        <f t="shared" si="18"/>
        <v>1</v>
      </c>
      <c r="EC117" s="58">
        <f t="shared" si="7"/>
        <v>0</v>
      </c>
      <c r="ED117" s="378">
        <f t="shared" si="8"/>
        <v>0</v>
      </c>
      <c r="EE117" s="378"/>
      <c r="EF117" s="57">
        <f t="shared" si="9"/>
        <v>0</v>
      </c>
      <c r="EG117" s="378">
        <f t="shared" si="10"/>
        <v>0</v>
      </c>
      <c r="EH117" s="378"/>
      <c r="EI117" s="57">
        <f t="shared" si="11"/>
        <v>0</v>
      </c>
      <c r="EJ117" s="57">
        <f t="shared" si="12"/>
        <v>0</v>
      </c>
      <c r="EK117" s="378">
        <f t="shared" si="13"/>
        <v>0</v>
      </c>
      <c r="EL117" s="378"/>
      <c r="EM117" s="57">
        <f t="shared" si="14"/>
        <v>0</v>
      </c>
      <c r="EN117" s="378">
        <v>0</v>
      </c>
      <c r="EO117" s="378"/>
      <c r="EP117" s="378">
        <f t="shared" si="15"/>
        <v>0</v>
      </c>
      <c r="EQ117" s="378"/>
      <c r="ER117" s="385">
        <f t="shared" si="19"/>
        <v>0</v>
      </c>
      <c r="ES117" s="385"/>
      <c r="ET117" s="378">
        <f t="shared" si="16"/>
        <v>0</v>
      </c>
      <c r="EU117" s="378"/>
      <c r="EV117" s="82"/>
      <c r="EW117" s="82"/>
      <c r="EX117" s="82"/>
      <c r="EY117" s="82"/>
      <c r="EZ117" s="82"/>
      <c r="FA117" s="82"/>
      <c r="FB117" s="82"/>
      <c r="FC117" s="242"/>
      <c r="FD117" s="243"/>
    </row>
    <row r="118" spans="1:160" s="5" customFormat="1" ht="12" hidden="1">
      <c r="A118" s="156">
        <f t="shared" si="0"/>
        <v>1</v>
      </c>
      <c r="B118" s="4"/>
      <c r="D118" s="4"/>
      <c r="E118" s="53" t="str">
        <f t="shared" si="1"/>
        <v>--scegli il tipo d'imposta --►</v>
      </c>
      <c r="F118" s="53"/>
      <c r="G118" s="53"/>
      <c r="H118" s="53"/>
      <c r="I118" s="53"/>
      <c r="J118" s="53"/>
      <c r="K118" s="53"/>
      <c r="M118" s="53" t="str">
        <f t="shared" si="3"/>
        <v>--sc</v>
      </c>
      <c r="N118" s="53"/>
      <c r="X118" s="113">
        <f t="shared" si="4"/>
      </c>
      <c r="Y118" s="114" t="str">
        <f t="shared" si="5"/>
        <v>-▼</v>
      </c>
      <c r="Z118" s="110" t="str">
        <f t="shared" si="2"/>
        <v>-▼</v>
      </c>
      <c r="AA118" s="110"/>
      <c r="AB118" s="110"/>
      <c r="AC118" s="110"/>
      <c r="AD118" s="110"/>
      <c r="AE118" s="110"/>
      <c r="AF118" s="110"/>
      <c r="AG118" s="110"/>
      <c r="AH118" s="110"/>
      <c r="AI118" s="110"/>
      <c r="AJ118" s="110"/>
      <c r="AK118" s="110"/>
      <c r="AL118" s="111"/>
      <c r="AO118" s="90" t="str">
        <f>IF(AW107=11,"CODICE TRIBUTO:","MM/AAAA TRIBUTO:")</f>
        <v>MM/AAAA TRIBUTO:</v>
      </c>
      <c r="CJ118"/>
      <c r="CK118"/>
      <c r="CL118"/>
      <c r="CM118"/>
      <c r="CN118"/>
      <c r="CO118"/>
      <c r="CP118"/>
      <c r="CQ118"/>
      <c r="CR118"/>
      <c r="CS118"/>
      <c r="CT118"/>
      <c r="CU118"/>
      <c r="CV118"/>
      <c r="CW118"/>
      <c r="CX118"/>
      <c r="CY118"/>
      <c r="CZ118"/>
      <c r="DA118"/>
      <c r="DB118"/>
      <c r="DC118"/>
      <c r="DD118" s="56" t="s">
        <v>73</v>
      </c>
      <c r="DE118" s="56"/>
      <c r="DF118" s="56"/>
      <c r="DG118" s="56"/>
      <c r="DH118" s="56"/>
      <c r="DI118" s="56"/>
      <c r="DJ118" s="56"/>
      <c r="DK118" s="56"/>
      <c r="DL118" s="56"/>
      <c r="DM118" s="56"/>
      <c r="DN118" s="56"/>
      <c r="DO118" s="56"/>
      <c r="DP118" s="56"/>
      <c r="DQ118" s="378" t="str">
        <f t="shared" si="6"/>
        <v>6009</v>
      </c>
      <c r="DR118" s="378"/>
      <c r="DS118" s="57">
        <v>2</v>
      </c>
      <c r="DT118" s="378" t="s">
        <v>54</v>
      </c>
      <c r="DU118" s="378"/>
      <c r="DV118" s="57">
        <v>1</v>
      </c>
      <c r="DW118" s="57">
        <v>2</v>
      </c>
      <c r="DX118" s="378">
        <v>1991</v>
      </c>
      <c r="DY118" s="378"/>
      <c r="DZ118" s="57">
        <v>2</v>
      </c>
      <c r="EA118" s="58">
        <f t="shared" si="17"/>
        <v>1</v>
      </c>
      <c r="EB118" s="58">
        <f t="shared" si="18"/>
        <v>1</v>
      </c>
      <c r="EC118" s="58">
        <f t="shared" si="7"/>
        <v>0</v>
      </c>
      <c r="ED118" s="378">
        <f t="shared" si="8"/>
        <v>0</v>
      </c>
      <c r="EE118" s="378"/>
      <c r="EF118" s="57">
        <f t="shared" si="9"/>
        <v>0</v>
      </c>
      <c r="EG118" s="378">
        <f t="shared" si="10"/>
        <v>0</v>
      </c>
      <c r="EH118" s="378"/>
      <c r="EI118" s="57">
        <f t="shared" si="11"/>
        <v>0</v>
      </c>
      <c r="EJ118" s="57">
        <f t="shared" si="12"/>
        <v>0</v>
      </c>
      <c r="EK118" s="378">
        <f t="shared" si="13"/>
        <v>0</v>
      </c>
      <c r="EL118" s="378"/>
      <c r="EM118" s="57">
        <f t="shared" si="14"/>
        <v>0</v>
      </c>
      <c r="EN118" s="378">
        <v>0</v>
      </c>
      <c r="EO118" s="378"/>
      <c r="EP118" s="378">
        <f t="shared" si="15"/>
        <v>0</v>
      </c>
      <c r="EQ118" s="378"/>
      <c r="ER118" s="385">
        <f t="shared" si="19"/>
        <v>0</v>
      </c>
      <c r="ES118" s="385"/>
      <c r="ET118" s="378">
        <f t="shared" si="16"/>
        <v>0</v>
      </c>
      <c r="EU118" s="378"/>
      <c r="EV118" s="82"/>
      <c r="EW118" s="82"/>
      <c r="EX118" s="82"/>
      <c r="EY118" s="82"/>
      <c r="EZ118" s="82"/>
      <c r="FA118" s="82"/>
      <c r="FB118" s="82"/>
      <c r="FC118" s="242"/>
      <c r="FD118" s="243"/>
    </row>
    <row r="119" spans="1:160" s="5" customFormat="1" ht="12" hidden="1">
      <c r="A119" s="156">
        <f t="shared" si="0"/>
        <v>1</v>
      </c>
      <c r="B119" s="4"/>
      <c r="D119" s="4"/>
      <c r="E119" s="53" t="str">
        <f t="shared" si="1"/>
        <v>--scegli il tipo d'imposta --►</v>
      </c>
      <c r="F119" s="53"/>
      <c r="G119" s="53"/>
      <c r="H119" s="53"/>
      <c r="I119" s="53"/>
      <c r="J119" s="53"/>
      <c r="K119" s="53"/>
      <c r="M119" s="53" t="str">
        <f t="shared" si="3"/>
        <v>--sc</v>
      </c>
      <c r="N119" s="53"/>
      <c r="X119" s="113">
        <f t="shared" si="4"/>
      </c>
      <c r="Y119" s="114" t="str">
        <f t="shared" si="5"/>
        <v>-▼</v>
      </c>
      <c r="Z119" s="110" t="str">
        <f t="shared" si="2"/>
        <v>-▼</v>
      </c>
      <c r="AA119" s="110"/>
      <c r="AB119" s="110"/>
      <c r="AC119" s="110"/>
      <c r="AD119" s="110"/>
      <c r="AE119" s="110"/>
      <c r="AF119" s="110"/>
      <c r="AG119" s="110"/>
      <c r="AH119" s="110"/>
      <c r="AI119" s="110"/>
      <c r="AJ119" s="110"/>
      <c r="AK119" s="110"/>
      <c r="AL119" s="111"/>
      <c r="AO119" s="91" t="str">
        <f>IF(AW107=11,CONCATENATE("                                     ",AS107),CONCATENATE("       ",AV116,"                      ",AV117))</f>
        <v>                                         </v>
      </c>
      <c r="AP119" s="92"/>
      <c r="AQ119" s="92"/>
      <c r="AR119" s="92"/>
      <c r="AS119" s="92"/>
      <c r="AT119" s="92"/>
      <c r="AU119" s="92"/>
      <c r="AV119" s="92"/>
      <c r="AW119" s="92"/>
      <c r="AX119" s="93"/>
      <c r="AY119" s="34"/>
      <c r="AZ119" s="34"/>
      <c r="BA119" s="34"/>
      <c r="BB119" s="34"/>
      <c r="BC119" s="34"/>
      <c r="BD119" s="34"/>
      <c r="BE119" s="34"/>
      <c r="BF119" s="34"/>
      <c r="BG119" s="34"/>
      <c r="BH119" s="34"/>
      <c r="BI119" s="34"/>
      <c r="BZ119" s="34"/>
      <c r="CA119" s="34"/>
      <c r="CB119" s="34"/>
      <c r="CC119" s="34"/>
      <c r="CD119" s="34"/>
      <c r="CE119" s="34"/>
      <c r="CF119" s="34"/>
      <c r="CG119" s="34"/>
      <c r="CH119" s="34"/>
      <c r="CI119" s="34"/>
      <c r="CJ119"/>
      <c r="CK119"/>
      <c r="CL119"/>
      <c r="CM119"/>
      <c r="CN119"/>
      <c r="CO119"/>
      <c r="CP119"/>
      <c r="CQ119"/>
      <c r="CR119"/>
      <c r="CS119"/>
      <c r="CT119"/>
      <c r="CU119"/>
      <c r="CV119"/>
      <c r="CW119"/>
      <c r="CX119"/>
      <c r="CY119"/>
      <c r="CZ119"/>
      <c r="DA119"/>
      <c r="DB119"/>
      <c r="DC119"/>
      <c r="DD119" s="56" t="s">
        <v>74</v>
      </c>
      <c r="DE119" s="56"/>
      <c r="DF119" s="56"/>
      <c r="DG119" s="56"/>
      <c r="DH119" s="56"/>
      <c r="DI119" s="56"/>
      <c r="DJ119" s="56"/>
      <c r="DK119" s="56"/>
      <c r="DL119" s="56"/>
      <c r="DM119" s="56"/>
      <c r="DN119" s="56"/>
      <c r="DO119" s="56"/>
      <c r="DP119" s="56"/>
      <c r="DQ119" s="378" t="str">
        <f t="shared" si="6"/>
        <v>6010</v>
      </c>
      <c r="DR119" s="378"/>
      <c r="DS119" s="57">
        <v>2</v>
      </c>
      <c r="DT119" s="378" t="s">
        <v>54</v>
      </c>
      <c r="DU119" s="378"/>
      <c r="DV119" s="57">
        <v>1</v>
      </c>
      <c r="DW119" s="57">
        <v>2</v>
      </c>
      <c r="DX119" s="378">
        <v>1991</v>
      </c>
      <c r="DY119" s="378"/>
      <c r="DZ119" s="57">
        <v>2</v>
      </c>
      <c r="EA119" s="58">
        <f t="shared" si="17"/>
        <v>1</v>
      </c>
      <c r="EB119" s="58">
        <f t="shared" si="18"/>
        <v>1</v>
      </c>
      <c r="EC119" s="58">
        <f t="shared" si="7"/>
        <v>0</v>
      </c>
      <c r="ED119" s="378">
        <f t="shared" si="8"/>
        <v>0</v>
      </c>
      <c r="EE119" s="378"/>
      <c r="EF119" s="57">
        <f t="shared" si="9"/>
        <v>0</v>
      </c>
      <c r="EG119" s="378">
        <f t="shared" si="10"/>
        <v>0</v>
      </c>
      <c r="EH119" s="378"/>
      <c r="EI119" s="57">
        <f t="shared" si="11"/>
        <v>0</v>
      </c>
      <c r="EJ119" s="57">
        <f t="shared" si="12"/>
        <v>0</v>
      </c>
      <c r="EK119" s="378">
        <f t="shared" si="13"/>
        <v>0</v>
      </c>
      <c r="EL119" s="378"/>
      <c r="EM119" s="57">
        <f t="shared" si="14"/>
        <v>0</v>
      </c>
      <c r="EN119" s="378">
        <v>0</v>
      </c>
      <c r="EO119" s="378"/>
      <c r="EP119" s="378">
        <f t="shared" si="15"/>
        <v>0</v>
      </c>
      <c r="EQ119" s="378"/>
      <c r="ER119" s="385">
        <f t="shared" si="19"/>
        <v>0</v>
      </c>
      <c r="ES119" s="385"/>
      <c r="ET119" s="378">
        <f t="shared" si="16"/>
        <v>0</v>
      </c>
      <c r="EU119" s="378"/>
      <c r="EV119" s="82"/>
      <c r="EW119" s="82"/>
      <c r="EX119" s="82"/>
      <c r="EY119" s="82"/>
      <c r="EZ119" s="82"/>
      <c r="FA119" s="82"/>
      <c r="FB119" s="82"/>
      <c r="FC119" s="242"/>
      <c r="FD119" s="243"/>
    </row>
    <row r="120" spans="1:160" s="5" customFormat="1" ht="12" hidden="1">
      <c r="A120" s="156">
        <f t="shared" si="0"/>
        <v>1</v>
      </c>
      <c r="B120" s="4"/>
      <c r="D120" s="4"/>
      <c r="E120" s="53" t="str">
        <f t="shared" si="1"/>
        <v>--scegli il tipo d'imposta --►</v>
      </c>
      <c r="F120" s="53"/>
      <c r="G120" s="53"/>
      <c r="H120" s="53"/>
      <c r="I120" s="53"/>
      <c r="J120" s="53"/>
      <c r="K120" s="53"/>
      <c r="M120" s="53" t="str">
        <f t="shared" si="3"/>
        <v>--sc</v>
      </c>
      <c r="N120" s="53"/>
      <c r="X120" s="113">
        <f t="shared" si="4"/>
      </c>
      <c r="Y120" s="114" t="str">
        <f t="shared" si="5"/>
        <v>-▼</v>
      </c>
      <c r="Z120" s="110" t="str">
        <f t="shared" si="2"/>
        <v>-▼</v>
      </c>
      <c r="AA120" s="110"/>
      <c r="AB120" s="110"/>
      <c r="AC120" s="110"/>
      <c r="AD120" s="110"/>
      <c r="AE120" s="110"/>
      <c r="AF120" s="110"/>
      <c r="AG120" s="110"/>
      <c r="AH120" s="110"/>
      <c r="AI120" s="110"/>
      <c r="AJ120" s="110"/>
      <c r="AK120" s="110"/>
      <c r="AL120" s="111"/>
      <c r="AO120" s="90" t="str">
        <f>IF(AW108=11,"CODICE SANZIONE:","MM/AAAA SANZIONE:")</f>
        <v>MM/AAAA SANZIONE:</v>
      </c>
      <c r="CJ120"/>
      <c r="CK120"/>
      <c r="CL120"/>
      <c r="CM120"/>
      <c r="CN120"/>
      <c r="CO120"/>
      <c r="CP120"/>
      <c r="CQ120"/>
      <c r="CR120"/>
      <c r="CS120"/>
      <c r="CT120"/>
      <c r="CU120"/>
      <c r="CV120"/>
      <c r="CW120"/>
      <c r="CX120"/>
      <c r="CY120"/>
      <c r="CZ120"/>
      <c r="DA120"/>
      <c r="DB120"/>
      <c r="DC120"/>
      <c r="DD120" s="56" t="s">
        <v>75</v>
      </c>
      <c r="DE120" s="56"/>
      <c r="DF120" s="56"/>
      <c r="DG120" s="56"/>
      <c r="DH120" s="56"/>
      <c r="DI120" s="56"/>
      <c r="DJ120" s="56"/>
      <c r="DK120" s="56"/>
      <c r="DL120" s="56"/>
      <c r="DM120" s="56"/>
      <c r="DN120" s="56"/>
      <c r="DO120" s="56"/>
      <c r="DP120" s="56"/>
      <c r="DQ120" s="378" t="str">
        <f t="shared" si="6"/>
        <v>6011</v>
      </c>
      <c r="DR120" s="378"/>
      <c r="DS120" s="57">
        <v>2</v>
      </c>
      <c r="DT120" s="378" t="s">
        <v>54</v>
      </c>
      <c r="DU120" s="378"/>
      <c r="DV120" s="57">
        <v>1</v>
      </c>
      <c r="DW120" s="57">
        <v>2</v>
      </c>
      <c r="DX120" s="378">
        <v>1991</v>
      </c>
      <c r="DY120" s="378"/>
      <c r="DZ120" s="57">
        <v>2</v>
      </c>
      <c r="EA120" s="58">
        <f t="shared" si="17"/>
        <v>1</v>
      </c>
      <c r="EB120" s="58">
        <f t="shared" si="18"/>
        <v>1</v>
      </c>
      <c r="EC120" s="58">
        <f t="shared" si="7"/>
        <v>0</v>
      </c>
      <c r="ED120" s="378">
        <f t="shared" si="8"/>
        <v>0</v>
      </c>
      <c r="EE120" s="378"/>
      <c r="EF120" s="57">
        <f t="shared" si="9"/>
        <v>0</v>
      </c>
      <c r="EG120" s="378">
        <f t="shared" si="10"/>
        <v>0</v>
      </c>
      <c r="EH120" s="378"/>
      <c r="EI120" s="57">
        <f t="shared" si="11"/>
        <v>0</v>
      </c>
      <c r="EJ120" s="57">
        <f t="shared" si="12"/>
        <v>0</v>
      </c>
      <c r="EK120" s="378">
        <f t="shared" si="13"/>
        <v>0</v>
      </c>
      <c r="EL120" s="378"/>
      <c r="EM120" s="57">
        <f t="shared" si="14"/>
        <v>0</v>
      </c>
      <c r="EN120" s="378">
        <v>0</v>
      </c>
      <c r="EO120" s="378"/>
      <c r="EP120" s="378">
        <f t="shared" si="15"/>
        <v>0</v>
      </c>
      <c r="EQ120" s="378"/>
      <c r="ER120" s="385">
        <f t="shared" si="19"/>
        <v>0</v>
      </c>
      <c r="ES120" s="385"/>
      <c r="ET120" s="378">
        <f t="shared" si="16"/>
        <v>0</v>
      </c>
      <c r="EU120" s="378"/>
      <c r="EV120" s="82"/>
      <c r="EW120" s="82"/>
      <c r="EX120" s="82"/>
      <c r="EY120" s="82"/>
      <c r="EZ120" s="82"/>
      <c r="FA120" s="82"/>
      <c r="FB120" s="82"/>
      <c r="FC120" s="242"/>
      <c r="FD120" s="243"/>
    </row>
    <row r="121" spans="1:160" s="5" customFormat="1" ht="12" hidden="1">
      <c r="A121" s="156">
        <f t="shared" si="0"/>
        <v>1</v>
      </c>
      <c r="B121" s="4"/>
      <c r="D121" s="4"/>
      <c r="E121" s="53" t="str">
        <f t="shared" si="1"/>
        <v>--scegli il tipo d'imposta --►</v>
      </c>
      <c r="F121" s="53"/>
      <c r="G121" s="53"/>
      <c r="H121" s="53"/>
      <c r="I121" s="53"/>
      <c r="J121" s="53"/>
      <c r="K121" s="53"/>
      <c r="M121" s="53" t="str">
        <f t="shared" si="3"/>
        <v>--sc</v>
      </c>
      <c r="N121" s="53"/>
      <c r="X121" s="113">
        <f t="shared" si="4"/>
      </c>
      <c r="Y121" s="114" t="str">
        <f t="shared" si="5"/>
        <v>-▼</v>
      </c>
      <c r="Z121" s="110" t="str">
        <f t="shared" si="2"/>
        <v>-▼</v>
      </c>
      <c r="AA121" s="110"/>
      <c r="AB121" s="110"/>
      <c r="AC121" s="110"/>
      <c r="AD121" s="110"/>
      <c r="AE121" s="110"/>
      <c r="AF121" s="110"/>
      <c r="AG121" s="110"/>
      <c r="AH121" s="110"/>
      <c r="AI121" s="110"/>
      <c r="AJ121" s="110"/>
      <c r="AK121" s="110"/>
      <c r="AL121" s="111"/>
      <c r="AO121" s="91" t="str">
        <f>IF(AS107=1507,"",IF(AW108=11,CONCATENATE("                                     ",AS108),IF(AS108=8906,CONCATENATE("       ",AV116,"                      ",AV117),IF(AS108=8913,CONCATENATE("       0012                      ",AV117),CONCATENATE("                                     ",AV117)))))</f>
        <v>                                         </v>
      </c>
      <c r="AP121" s="92"/>
      <c r="AQ121" s="92"/>
      <c r="AR121" s="92"/>
      <c r="AS121" s="92"/>
      <c r="AT121" s="92"/>
      <c r="AU121" s="92"/>
      <c r="AV121" s="92"/>
      <c r="AW121" s="92"/>
      <c r="AX121" s="93"/>
      <c r="AY121" s="34"/>
      <c r="AZ121" s="34"/>
      <c r="BA121" s="34"/>
      <c r="BB121" s="34"/>
      <c r="BC121" s="34"/>
      <c r="BD121" s="34"/>
      <c r="BE121" s="34"/>
      <c r="BF121" s="34"/>
      <c r="BG121" s="34"/>
      <c r="BH121" s="34"/>
      <c r="BI121" s="34"/>
      <c r="BZ121" s="34"/>
      <c r="CA121" s="34"/>
      <c r="CB121" s="34"/>
      <c r="CC121" s="34"/>
      <c r="CD121" s="34"/>
      <c r="CE121" s="34"/>
      <c r="CF121" s="34"/>
      <c r="CG121" s="34"/>
      <c r="CH121" s="34"/>
      <c r="CI121" s="34"/>
      <c r="CJ121"/>
      <c r="CK121"/>
      <c r="CL121"/>
      <c r="CM121"/>
      <c r="CN121"/>
      <c r="CO121"/>
      <c r="CP121"/>
      <c r="CQ121"/>
      <c r="CR121"/>
      <c r="CS121"/>
      <c r="CT121"/>
      <c r="CU121"/>
      <c r="CV121"/>
      <c r="CW121"/>
      <c r="CX121"/>
      <c r="CY121"/>
      <c r="CZ121"/>
      <c r="DA121"/>
      <c r="DB121"/>
      <c r="DC121"/>
      <c r="DD121" s="56" t="s">
        <v>76</v>
      </c>
      <c r="DE121" s="56"/>
      <c r="DF121" s="56"/>
      <c r="DG121" s="56"/>
      <c r="DH121" s="56"/>
      <c r="DI121" s="56"/>
      <c r="DJ121" s="56"/>
      <c r="DK121" s="56"/>
      <c r="DL121" s="56"/>
      <c r="DM121" s="56"/>
      <c r="DN121" s="56"/>
      <c r="DO121" s="56"/>
      <c r="DP121" s="56"/>
      <c r="DQ121" s="378" t="str">
        <f t="shared" si="6"/>
        <v>6012</v>
      </c>
      <c r="DR121" s="378"/>
      <c r="DS121" s="57">
        <v>2</v>
      </c>
      <c r="DT121" s="378" t="s">
        <v>54</v>
      </c>
      <c r="DU121" s="378"/>
      <c r="DV121" s="57">
        <v>1</v>
      </c>
      <c r="DW121" s="57">
        <v>2</v>
      </c>
      <c r="DX121" s="378">
        <v>1991</v>
      </c>
      <c r="DY121" s="378"/>
      <c r="DZ121" s="57">
        <v>2</v>
      </c>
      <c r="EA121" s="58">
        <f t="shared" si="17"/>
        <v>1</v>
      </c>
      <c r="EB121" s="58">
        <f t="shared" si="18"/>
        <v>1</v>
      </c>
      <c r="EC121" s="58">
        <f t="shared" si="7"/>
        <v>0</v>
      </c>
      <c r="ED121" s="378">
        <f t="shared" si="8"/>
        <v>0</v>
      </c>
      <c r="EE121" s="378"/>
      <c r="EF121" s="57">
        <f t="shared" si="9"/>
        <v>0</v>
      </c>
      <c r="EG121" s="378">
        <f t="shared" si="10"/>
        <v>0</v>
      </c>
      <c r="EH121" s="378"/>
      <c r="EI121" s="57">
        <f t="shared" si="11"/>
        <v>0</v>
      </c>
      <c r="EJ121" s="57">
        <f t="shared" si="12"/>
        <v>0</v>
      </c>
      <c r="EK121" s="378">
        <f t="shared" si="13"/>
        <v>0</v>
      </c>
      <c r="EL121" s="378"/>
      <c r="EM121" s="57">
        <f t="shared" si="14"/>
        <v>0</v>
      </c>
      <c r="EN121" s="378">
        <v>0</v>
      </c>
      <c r="EO121" s="378"/>
      <c r="EP121" s="378">
        <f>IF(ER121&lt;&gt;0,EC121*(ER121-1),0)</f>
        <v>0</v>
      </c>
      <c r="EQ121" s="378"/>
      <c r="ER121" s="385">
        <f t="shared" si="19"/>
        <v>0</v>
      </c>
      <c r="ES121" s="385"/>
      <c r="ET121" s="378">
        <f t="shared" si="16"/>
        <v>0</v>
      </c>
      <c r="EU121" s="378"/>
      <c r="EV121" s="82"/>
      <c r="EW121" s="82"/>
      <c r="EX121" s="82"/>
      <c r="EY121" s="82"/>
      <c r="EZ121" s="82"/>
      <c r="FA121" s="82"/>
      <c r="FB121" s="82"/>
      <c r="FC121" s="242"/>
      <c r="FD121" s="243"/>
    </row>
    <row r="122" spans="1:160" s="5" customFormat="1" ht="12" hidden="1">
      <c r="A122" s="156">
        <f t="shared" si="0"/>
        <v>1</v>
      </c>
      <c r="B122" s="4"/>
      <c r="D122" s="4"/>
      <c r="E122" s="53" t="str">
        <f t="shared" si="1"/>
        <v>--scegli il tipo d'imposta --►</v>
      </c>
      <c r="F122" s="53"/>
      <c r="G122" s="53"/>
      <c r="H122" s="53"/>
      <c r="I122" s="53"/>
      <c r="J122" s="53"/>
      <c r="K122" s="53"/>
      <c r="M122" s="53" t="str">
        <f t="shared" si="3"/>
        <v>--sc</v>
      </c>
      <c r="N122" s="53"/>
      <c r="P122" s="5" t="s">
        <v>77</v>
      </c>
      <c r="X122" s="113">
        <f t="shared" si="4"/>
      </c>
      <c r="Y122" s="114" t="str">
        <f t="shared" si="5"/>
        <v>-▼</v>
      </c>
      <c r="Z122" s="110" t="str">
        <f t="shared" si="2"/>
        <v>-▼</v>
      </c>
      <c r="AA122" s="110"/>
      <c r="AB122" s="110"/>
      <c r="AC122" s="110"/>
      <c r="AD122" s="110"/>
      <c r="AE122" s="110"/>
      <c r="AF122" s="110"/>
      <c r="AG122" s="110"/>
      <c r="AH122" s="110"/>
      <c r="AI122" s="110"/>
      <c r="AJ122" s="110"/>
      <c r="AK122" s="110"/>
      <c r="AL122" s="111"/>
      <c r="AO122" s="90" t="str">
        <f>IF(AW109=11,"CODICE INTERESSI:","MM/AAAA INTERESSI:")</f>
        <v>MM/AAAA INTERESSI:</v>
      </c>
      <c r="CJ122"/>
      <c r="CK122"/>
      <c r="CL122"/>
      <c r="CM122"/>
      <c r="CN122"/>
      <c r="CO122"/>
      <c r="CP122"/>
      <c r="CQ122"/>
      <c r="CR122"/>
      <c r="CS122"/>
      <c r="CT122"/>
      <c r="CU122"/>
      <c r="CV122"/>
      <c r="CW122"/>
      <c r="CX122"/>
      <c r="CY122"/>
      <c r="CZ122"/>
      <c r="DA122"/>
      <c r="DB122"/>
      <c r="DC122"/>
      <c r="DD122" s="56" t="s">
        <v>78</v>
      </c>
      <c r="DE122" s="56"/>
      <c r="DF122" s="56"/>
      <c r="DG122" s="56"/>
      <c r="DH122" s="56"/>
      <c r="DI122" s="56"/>
      <c r="DJ122" s="56"/>
      <c r="DK122" s="56"/>
      <c r="DL122" s="56"/>
      <c r="DM122" s="56"/>
      <c r="DN122" s="56"/>
      <c r="DO122" s="56"/>
      <c r="DP122" s="56"/>
      <c r="DQ122" s="378" t="str">
        <f t="shared" si="6"/>
        <v>6013</v>
      </c>
      <c r="DR122" s="378"/>
      <c r="DS122" s="57">
        <v>2</v>
      </c>
      <c r="DT122" s="378" t="s">
        <v>54</v>
      </c>
      <c r="DU122" s="378"/>
      <c r="DV122" s="57">
        <v>1</v>
      </c>
      <c r="DW122" s="57">
        <v>2</v>
      </c>
      <c r="DX122" s="378">
        <v>1991</v>
      </c>
      <c r="DY122" s="378"/>
      <c r="DZ122" s="57">
        <v>2</v>
      </c>
      <c r="EA122" s="58">
        <f t="shared" si="17"/>
        <v>1</v>
      </c>
      <c r="EB122" s="58">
        <f t="shared" si="18"/>
        <v>1</v>
      </c>
      <c r="EC122" s="58">
        <f t="shared" si="7"/>
        <v>0</v>
      </c>
      <c r="ED122" s="378">
        <f t="shared" si="8"/>
        <v>0</v>
      </c>
      <c r="EE122" s="378"/>
      <c r="EF122" s="57">
        <f t="shared" si="9"/>
        <v>0</v>
      </c>
      <c r="EG122" s="378">
        <f t="shared" si="10"/>
        <v>0</v>
      </c>
      <c r="EH122" s="378"/>
      <c r="EI122" s="57">
        <f t="shared" si="11"/>
        <v>0</v>
      </c>
      <c r="EJ122" s="57">
        <f t="shared" si="12"/>
        <v>0</v>
      </c>
      <c r="EK122" s="378">
        <f t="shared" si="13"/>
        <v>0</v>
      </c>
      <c r="EL122" s="378"/>
      <c r="EM122" s="57">
        <f t="shared" si="14"/>
        <v>0</v>
      </c>
      <c r="EN122" s="378">
        <v>0</v>
      </c>
      <c r="EO122" s="378"/>
      <c r="EP122" s="378">
        <f>IF(ER122&lt;&gt;0,EC122*ER122,0)</f>
        <v>0</v>
      </c>
      <c r="EQ122" s="378"/>
      <c r="ER122" s="385">
        <f t="shared" si="19"/>
        <v>0</v>
      </c>
      <c r="ES122" s="385"/>
      <c r="ET122" s="378">
        <f t="shared" si="16"/>
        <v>0</v>
      </c>
      <c r="EU122" s="378"/>
      <c r="EV122" s="82"/>
      <c r="EW122" s="82"/>
      <c r="EX122" s="82"/>
      <c r="EY122" s="82"/>
      <c r="EZ122" s="82"/>
      <c r="FA122" s="82"/>
      <c r="FB122" s="82"/>
      <c r="FC122" s="242"/>
      <c r="FD122" s="243"/>
    </row>
    <row r="123" spans="1:160" s="5" customFormat="1" ht="12" hidden="1">
      <c r="A123" s="156">
        <f t="shared" si="0"/>
        <v>1</v>
      </c>
      <c r="B123" s="4"/>
      <c r="D123" s="4"/>
      <c r="E123" s="53" t="str">
        <f t="shared" si="1"/>
        <v>--scegli il tipo d'imposta --►</v>
      </c>
      <c r="F123" s="53"/>
      <c r="G123" s="53"/>
      <c r="H123" s="53"/>
      <c r="I123" s="53"/>
      <c r="J123" s="53"/>
      <c r="K123" s="53"/>
      <c r="M123" s="53" t="str">
        <f t="shared" si="3"/>
        <v>--sc</v>
      </c>
      <c r="N123" s="53"/>
      <c r="P123" s="5" t="s">
        <v>79</v>
      </c>
      <c r="T123" s="5" t="s">
        <v>80</v>
      </c>
      <c r="X123" s="113">
        <f t="shared" si="4"/>
      </c>
      <c r="Y123" s="114" t="str">
        <f t="shared" si="5"/>
        <v>-▼</v>
      </c>
      <c r="Z123" s="110" t="str">
        <f t="shared" si="2"/>
        <v>-▼</v>
      </c>
      <c r="AA123" s="110"/>
      <c r="AB123" s="110"/>
      <c r="AC123" s="110"/>
      <c r="AD123" s="110"/>
      <c r="AE123" s="110"/>
      <c r="AF123" s="110"/>
      <c r="AG123" s="110"/>
      <c r="AH123" s="110"/>
      <c r="AI123" s="110"/>
      <c r="AJ123" s="110"/>
      <c r="AK123" s="110"/>
      <c r="AL123" s="111"/>
      <c r="AO123" s="91" t="str">
        <f>IF(AS107=1507,"",IF(AW109=11,CONCATENATE("                                     ",AS109),IF(AS109=1992,CONCATENATE("       ",FC106,"                      ",AV117),CONCATENATE("                                     ",AV117))))</f>
        <v>                                         </v>
      </c>
      <c r="AP123" s="92"/>
      <c r="AQ123" s="92"/>
      <c r="AR123" s="92"/>
      <c r="AS123" s="92"/>
      <c r="AT123" s="92"/>
      <c r="AU123" s="92"/>
      <c r="AV123" s="92"/>
      <c r="AW123" s="92"/>
      <c r="AX123" s="93"/>
      <c r="AY123" s="34"/>
      <c r="AZ123" s="34"/>
      <c r="BA123" s="34"/>
      <c r="BB123" s="34"/>
      <c r="BC123" s="34"/>
      <c r="BD123" s="34"/>
      <c r="BE123" s="34"/>
      <c r="BF123" s="34"/>
      <c r="BG123" s="34"/>
      <c r="BH123" s="34"/>
      <c r="BI123" s="34"/>
      <c r="BZ123" s="34"/>
      <c r="CA123" s="34"/>
      <c r="CB123" s="34"/>
      <c r="CC123" s="34"/>
      <c r="CD123" s="34"/>
      <c r="CE123" s="34"/>
      <c r="CF123" s="34"/>
      <c r="CG123" s="34"/>
      <c r="CH123" s="34"/>
      <c r="CI123" s="34"/>
      <c r="CJ123"/>
      <c r="CK123"/>
      <c r="CL123"/>
      <c r="CM123"/>
      <c r="CN123"/>
      <c r="CO123"/>
      <c r="CP123"/>
      <c r="CQ123"/>
      <c r="CR123"/>
      <c r="CS123"/>
      <c r="CT123"/>
      <c r="CU123"/>
      <c r="CV123"/>
      <c r="CW123"/>
      <c r="CX123"/>
      <c r="CY123"/>
      <c r="CZ123"/>
      <c r="DA123"/>
      <c r="DB123"/>
      <c r="DC123"/>
      <c r="DD123" s="56" t="s">
        <v>81</v>
      </c>
      <c r="DE123" s="56"/>
      <c r="DF123" s="56"/>
      <c r="DG123" s="56"/>
      <c r="DH123" s="56"/>
      <c r="DI123" s="56"/>
      <c r="DJ123" s="56"/>
      <c r="DK123" s="56"/>
      <c r="DL123" s="56"/>
      <c r="DM123" s="56"/>
      <c r="DN123" s="56"/>
      <c r="DO123" s="56"/>
      <c r="DP123" s="56"/>
      <c r="DQ123" s="378" t="str">
        <f t="shared" si="6"/>
        <v>6031</v>
      </c>
      <c r="DR123" s="378"/>
      <c r="DS123" s="57">
        <v>2</v>
      </c>
      <c r="DT123" s="378" t="s">
        <v>54</v>
      </c>
      <c r="DU123" s="378"/>
      <c r="DV123" s="57">
        <v>1</v>
      </c>
      <c r="DW123" s="57">
        <v>2</v>
      </c>
      <c r="DX123" s="378">
        <v>1991</v>
      </c>
      <c r="DY123" s="378"/>
      <c r="DZ123" s="57">
        <v>2</v>
      </c>
      <c r="EA123" s="58">
        <f t="shared" si="17"/>
        <v>1</v>
      </c>
      <c r="EB123" s="58">
        <f t="shared" si="18"/>
        <v>1</v>
      </c>
      <c r="EC123" s="58">
        <f t="shared" si="7"/>
        <v>0</v>
      </c>
      <c r="ED123" s="378">
        <f t="shared" si="8"/>
        <v>0</v>
      </c>
      <c r="EE123" s="378"/>
      <c r="EF123" s="57">
        <f t="shared" si="9"/>
        <v>0</v>
      </c>
      <c r="EG123" s="378">
        <f t="shared" si="10"/>
        <v>0</v>
      </c>
      <c r="EH123" s="378"/>
      <c r="EI123" s="57">
        <f t="shared" si="11"/>
        <v>0</v>
      </c>
      <c r="EJ123" s="57">
        <f t="shared" si="12"/>
        <v>0</v>
      </c>
      <c r="EK123" s="378">
        <f t="shared" si="13"/>
        <v>0</v>
      </c>
      <c r="EL123" s="378"/>
      <c r="EM123" s="57">
        <f t="shared" si="14"/>
        <v>0</v>
      </c>
      <c r="EN123" s="378">
        <v>0</v>
      </c>
      <c r="EO123" s="378"/>
      <c r="EP123" s="378">
        <f>IF(ER123&lt;&gt;0,EC123*ER123,0)</f>
        <v>0</v>
      </c>
      <c r="EQ123" s="378"/>
      <c r="ER123" s="385">
        <f t="shared" si="19"/>
        <v>0</v>
      </c>
      <c r="ES123" s="385"/>
      <c r="ET123" s="378">
        <f t="shared" si="16"/>
        <v>0</v>
      </c>
      <c r="EU123" s="378"/>
      <c r="EV123" s="82"/>
      <c r="EW123" s="82"/>
      <c r="EX123" s="82"/>
      <c r="EY123" s="82"/>
      <c r="EZ123" s="82"/>
      <c r="FA123" s="82"/>
      <c r="FB123" s="82"/>
      <c r="FC123" s="242"/>
      <c r="FD123" s="243"/>
    </row>
    <row r="124" spans="1:160" s="5" customFormat="1" ht="12" hidden="1">
      <c r="A124" s="156">
        <f t="shared" si="0"/>
        <v>1</v>
      </c>
      <c r="B124" s="4"/>
      <c r="D124" s="4"/>
      <c r="E124" s="53" t="str">
        <f t="shared" si="1"/>
        <v>--scegli il tipo d'imposta --►</v>
      </c>
      <c r="F124" s="53"/>
      <c r="G124" s="53"/>
      <c r="H124" s="53"/>
      <c r="I124" s="53"/>
      <c r="J124" s="53"/>
      <c r="K124" s="53"/>
      <c r="M124" s="53" t="str">
        <f t="shared" si="3"/>
        <v>--sc</v>
      </c>
      <c r="N124" s="53"/>
      <c r="P124" s="5">
        <f>IF(X13=0,0,WEEKDAY(X13,2))</f>
        <v>0</v>
      </c>
      <c r="T124" s="5">
        <f>IF(X14=0,0,WEEKDAY(X14,2))</f>
        <v>2</v>
      </c>
      <c r="X124" s="113">
        <f t="shared" si="4"/>
      </c>
      <c r="Y124" s="114" t="str">
        <f t="shared" si="5"/>
        <v>-▼</v>
      </c>
      <c r="Z124" s="110" t="str">
        <f t="shared" si="2"/>
        <v>-▼</v>
      </c>
      <c r="AA124" s="110"/>
      <c r="AB124" s="110"/>
      <c r="AC124" s="110"/>
      <c r="AD124" s="110"/>
      <c r="AE124" s="110"/>
      <c r="AF124" s="110"/>
      <c r="AG124" s="110"/>
      <c r="AH124" s="110"/>
      <c r="AI124" s="110"/>
      <c r="AJ124" s="110"/>
      <c r="AK124" s="110"/>
      <c r="AL124" s="111"/>
      <c r="CJ124"/>
      <c r="CK124"/>
      <c r="CL124"/>
      <c r="CM124"/>
      <c r="CN124"/>
      <c r="CO124"/>
      <c r="CP124"/>
      <c r="CQ124"/>
      <c r="CR124"/>
      <c r="CS124"/>
      <c r="CT124"/>
      <c r="CU124"/>
      <c r="CV124"/>
      <c r="CW124"/>
      <c r="CX124"/>
      <c r="CY124"/>
      <c r="CZ124"/>
      <c r="DA124"/>
      <c r="DB124"/>
      <c r="DC124"/>
      <c r="DD124" s="56" t="s">
        <v>82</v>
      </c>
      <c r="DE124" s="56"/>
      <c r="DF124" s="56"/>
      <c r="DG124" s="56"/>
      <c r="DH124" s="56"/>
      <c r="DI124" s="56"/>
      <c r="DJ124" s="56"/>
      <c r="DK124" s="56"/>
      <c r="DL124" s="56"/>
      <c r="DM124" s="56"/>
      <c r="DN124" s="56"/>
      <c r="DO124" s="56"/>
      <c r="DP124" s="56"/>
      <c r="DQ124" s="378" t="str">
        <f t="shared" si="6"/>
        <v>6032</v>
      </c>
      <c r="DR124" s="378"/>
      <c r="DS124" s="57">
        <v>2</v>
      </c>
      <c r="DT124" s="378" t="s">
        <v>54</v>
      </c>
      <c r="DU124" s="378"/>
      <c r="DV124" s="57">
        <v>1</v>
      </c>
      <c r="DW124" s="57">
        <v>2</v>
      </c>
      <c r="DX124" s="378">
        <v>1991</v>
      </c>
      <c r="DY124" s="378"/>
      <c r="DZ124" s="57">
        <v>2</v>
      </c>
      <c r="EA124" s="58">
        <f t="shared" si="17"/>
        <v>1</v>
      </c>
      <c r="EB124" s="58">
        <f t="shared" si="18"/>
        <v>1</v>
      </c>
      <c r="EC124" s="58">
        <f t="shared" si="7"/>
        <v>0</v>
      </c>
      <c r="ED124" s="378">
        <f t="shared" si="8"/>
        <v>0</v>
      </c>
      <c r="EE124" s="378"/>
      <c r="EF124" s="57">
        <f t="shared" si="9"/>
        <v>0</v>
      </c>
      <c r="EG124" s="378">
        <f t="shared" si="10"/>
        <v>0</v>
      </c>
      <c r="EH124" s="378"/>
      <c r="EI124" s="57">
        <f t="shared" si="11"/>
        <v>0</v>
      </c>
      <c r="EJ124" s="57">
        <f t="shared" si="12"/>
        <v>0</v>
      </c>
      <c r="EK124" s="378">
        <f t="shared" si="13"/>
        <v>0</v>
      </c>
      <c r="EL124" s="378"/>
      <c r="EM124" s="57">
        <f t="shared" si="14"/>
        <v>0</v>
      </c>
      <c r="EN124" s="378">
        <v>0</v>
      </c>
      <c r="EO124" s="378"/>
      <c r="EP124" s="378">
        <f>IF(ER124&lt;&gt;0,EC124*ER124,0)</f>
        <v>0</v>
      </c>
      <c r="EQ124" s="378"/>
      <c r="ER124" s="385">
        <f t="shared" si="19"/>
        <v>0</v>
      </c>
      <c r="ES124" s="385"/>
      <c r="ET124" s="378">
        <f t="shared" si="16"/>
        <v>0</v>
      </c>
      <c r="EU124" s="378"/>
      <c r="EV124" s="82"/>
      <c r="EW124" s="82"/>
      <c r="EX124" s="82"/>
      <c r="EY124" s="82"/>
      <c r="EZ124" s="82"/>
      <c r="FA124" s="82"/>
      <c r="FB124" s="82"/>
      <c r="FC124" s="242"/>
      <c r="FD124" s="243"/>
    </row>
    <row r="125" spans="1:160" s="5" customFormat="1" ht="12" hidden="1">
      <c r="A125" s="156">
        <f t="shared" si="0"/>
        <v>1</v>
      </c>
      <c r="B125" s="4"/>
      <c r="D125" s="4"/>
      <c r="E125" s="53" t="str">
        <f t="shared" si="1"/>
        <v>--scegli il tipo d'imposta --►</v>
      </c>
      <c r="F125" s="53"/>
      <c r="G125" s="53"/>
      <c r="H125" s="53"/>
      <c r="I125" s="53"/>
      <c r="J125" s="53"/>
      <c r="K125" s="53"/>
      <c r="M125" s="53" t="str">
        <f t="shared" si="3"/>
        <v>--sc</v>
      </c>
      <c r="N125" s="53"/>
      <c r="P125" s="5" t="str">
        <f>IF(P124=0,"► ► ► ► ►",IF(P124=1,"lunedì",IF(P124=2,"martedì",IF(P124=3,"mercoledì",IF(P124=4,"giovedì",IF(P124=5,"venerdì",IF(P124=6,"sabato","domenica")))))))</f>
        <v>► ► ► ► ►</v>
      </c>
      <c r="T125" s="5" t="str">
        <f>IF(T124=0," ",IF(T124=1,"lunedì",IF(T124=2,"martedì",IF(T124=3,"mercoledì",IF(T124=4,"giovedì",IF(T124=5,"venerdì",IF(T124=6,"sabato","domenica")))))))</f>
        <v>martedì</v>
      </c>
      <c r="X125" s="113">
        <f t="shared" si="4"/>
      </c>
      <c r="Y125" s="114" t="str">
        <f t="shared" si="5"/>
        <v>-▼</v>
      </c>
      <c r="Z125" s="110" t="str">
        <f t="shared" si="2"/>
        <v>-▼</v>
      </c>
      <c r="AA125" s="110"/>
      <c r="AB125" s="110"/>
      <c r="AC125" s="110"/>
      <c r="AD125" s="110"/>
      <c r="AE125" s="110"/>
      <c r="AF125" s="110"/>
      <c r="AG125" s="110"/>
      <c r="AH125" s="110"/>
      <c r="AI125" s="110"/>
      <c r="AJ125" s="110"/>
      <c r="AK125" s="110"/>
      <c r="AL125" s="111"/>
      <c r="CJ125"/>
      <c r="CK125"/>
      <c r="CL125"/>
      <c r="CM125"/>
      <c r="CN125"/>
      <c r="CO125"/>
      <c r="CP125"/>
      <c r="CQ125"/>
      <c r="CR125"/>
      <c r="CS125"/>
      <c r="CT125"/>
      <c r="CU125"/>
      <c r="CV125"/>
      <c r="CW125"/>
      <c r="CX125"/>
      <c r="CY125"/>
      <c r="CZ125"/>
      <c r="DA125"/>
      <c r="DB125"/>
      <c r="DC125"/>
      <c r="DD125" s="56" t="s">
        <v>83</v>
      </c>
      <c r="DE125" s="56"/>
      <c r="DF125" s="56"/>
      <c r="DG125" s="56"/>
      <c r="DH125" s="56"/>
      <c r="DI125" s="56"/>
      <c r="DJ125" s="56"/>
      <c r="DK125" s="56"/>
      <c r="DL125" s="56"/>
      <c r="DM125" s="56"/>
      <c r="DN125" s="56"/>
      <c r="DO125" s="56"/>
      <c r="DP125" s="56"/>
      <c r="DQ125" s="378" t="str">
        <f t="shared" si="6"/>
        <v>6033</v>
      </c>
      <c r="DR125" s="378"/>
      <c r="DS125" s="57">
        <v>2</v>
      </c>
      <c r="DT125" s="378" t="s">
        <v>54</v>
      </c>
      <c r="DU125" s="378"/>
      <c r="DV125" s="57">
        <v>1</v>
      </c>
      <c r="DW125" s="57">
        <v>2</v>
      </c>
      <c r="DX125" s="378">
        <v>1991</v>
      </c>
      <c r="DY125" s="378"/>
      <c r="DZ125" s="57">
        <v>2</v>
      </c>
      <c r="EA125" s="58">
        <f t="shared" si="17"/>
        <v>1</v>
      </c>
      <c r="EB125" s="58">
        <f t="shared" si="18"/>
        <v>1</v>
      </c>
      <c r="EC125" s="58">
        <f t="shared" si="7"/>
        <v>0</v>
      </c>
      <c r="ED125" s="378">
        <f t="shared" si="8"/>
        <v>0</v>
      </c>
      <c r="EE125" s="378"/>
      <c r="EF125" s="57">
        <f t="shared" si="9"/>
        <v>0</v>
      </c>
      <c r="EG125" s="378">
        <f t="shared" si="10"/>
        <v>0</v>
      </c>
      <c r="EH125" s="378"/>
      <c r="EI125" s="57">
        <f t="shared" si="11"/>
        <v>0</v>
      </c>
      <c r="EJ125" s="57">
        <f t="shared" si="12"/>
        <v>0</v>
      </c>
      <c r="EK125" s="378">
        <f t="shared" si="13"/>
        <v>0</v>
      </c>
      <c r="EL125" s="378"/>
      <c r="EM125" s="57">
        <f t="shared" si="14"/>
        <v>0</v>
      </c>
      <c r="EN125" s="378">
        <v>0</v>
      </c>
      <c r="EO125" s="378"/>
      <c r="EP125" s="378">
        <f>IF(ER125&lt;&gt;0,EC125*ER125,0)</f>
        <v>0</v>
      </c>
      <c r="EQ125" s="378"/>
      <c r="ER125" s="385">
        <f t="shared" si="19"/>
        <v>0</v>
      </c>
      <c r="ES125" s="385"/>
      <c r="ET125" s="378">
        <f t="shared" si="16"/>
        <v>0</v>
      </c>
      <c r="EU125" s="378"/>
      <c r="EV125" s="82"/>
      <c r="EW125" s="82"/>
      <c r="EX125" s="82"/>
      <c r="EY125" s="82"/>
      <c r="EZ125" s="82"/>
      <c r="FA125" s="82"/>
      <c r="FB125" s="82"/>
      <c r="FC125" s="242"/>
      <c r="FD125" s="243"/>
    </row>
    <row r="126" spans="1:160" s="5" customFormat="1" ht="12" hidden="1">
      <c r="A126" s="156">
        <f t="shared" si="0"/>
        <v>1</v>
      </c>
      <c r="B126" s="4"/>
      <c r="D126" s="4"/>
      <c r="E126" s="53" t="str">
        <f t="shared" si="1"/>
        <v>--scegli il tipo d'imposta --►</v>
      </c>
      <c r="F126" s="53"/>
      <c r="G126" s="53"/>
      <c r="H126" s="53"/>
      <c r="I126" s="53"/>
      <c r="J126" s="53"/>
      <c r="K126" s="53"/>
      <c r="M126" s="53" t="str">
        <f t="shared" si="3"/>
        <v>--sc</v>
      </c>
      <c r="N126" s="53"/>
      <c r="X126" s="113">
        <f t="shared" si="4"/>
      </c>
      <c r="Y126" s="114" t="str">
        <f t="shared" si="5"/>
        <v>-▼</v>
      </c>
      <c r="Z126" s="110" t="str">
        <f t="shared" si="2"/>
        <v>-▼</v>
      </c>
      <c r="AA126" s="110"/>
      <c r="AB126" s="110"/>
      <c r="AC126" s="110"/>
      <c r="AD126" s="110"/>
      <c r="AE126" s="110"/>
      <c r="AF126" s="110"/>
      <c r="AG126" s="110"/>
      <c r="AH126" s="110"/>
      <c r="AI126" s="110"/>
      <c r="AJ126" s="110"/>
      <c r="AK126" s="110"/>
      <c r="AL126" s="111"/>
      <c r="CJ126"/>
      <c r="CK126"/>
      <c r="CL126"/>
      <c r="CM126"/>
      <c r="CN126"/>
      <c r="CO126"/>
      <c r="CP126"/>
      <c r="CQ126"/>
      <c r="CR126"/>
      <c r="CS126"/>
      <c r="CT126"/>
      <c r="CU126"/>
      <c r="CV126"/>
      <c r="CW126"/>
      <c r="CX126"/>
      <c r="CY126"/>
      <c r="CZ126"/>
      <c r="DA126"/>
      <c r="DB126"/>
      <c r="DC126"/>
      <c r="DD126" s="56" t="s">
        <v>84</v>
      </c>
      <c r="DE126" s="56"/>
      <c r="DF126" s="56"/>
      <c r="DG126" s="56"/>
      <c r="DH126" s="56"/>
      <c r="DI126" s="56"/>
      <c r="DJ126" s="56"/>
      <c r="DK126" s="56"/>
      <c r="DL126" s="56"/>
      <c r="DM126" s="56"/>
      <c r="DN126" s="56"/>
      <c r="DO126" s="56"/>
      <c r="DP126" s="56"/>
      <c r="DQ126" s="378" t="str">
        <f t="shared" si="6"/>
        <v>6035</v>
      </c>
      <c r="DR126" s="378"/>
      <c r="DS126" s="57">
        <v>2</v>
      </c>
      <c r="DT126" s="378" t="s">
        <v>54</v>
      </c>
      <c r="DU126" s="378"/>
      <c r="DV126" s="57">
        <v>1</v>
      </c>
      <c r="DW126" s="57">
        <v>2</v>
      </c>
      <c r="DX126" s="378">
        <v>1991</v>
      </c>
      <c r="DY126" s="378"/>
      <c r="DZ126" s="57">
        <v>2</v>
      </c>
      <c r="EA126" s="58">
        <f t="shared" si="17"/>
        <v>1</v>
      </c>
      <c r="EB126" s="58">
        <f t="shared" si="18"/>
        <v>1</v>
      </c>
      <c r="EC126" s="58">
        <f t="shared" si="7"/>
        <v>0</v>
      </c>
      <c r="ED126" s="378">
        <f t="shared" si="8"/>
        <v>0</v>
      </c>
      <c r="EE126" s="378"/>
      <c r="EF126" s="57">
        <f t="shared" si="9"/>
        <v>0</v>
      </c>
      <c r="EG126" s="378">
        <f t="shared" si="10"/>
        <v>0</v>
      </c>
      <c r="EH126" s="378"/>
      <c r="EI126" s="57">
        <f t="shared" si="11"/>
        <v>0</v>
      </c>
      <c r="EJ126" s="57">
        <f t="shared" si="12"/>
        <v>0</v>
      </c>
      <c r="EK126" s="378">
        <f t="shared" si="13"/>
        <v>0</v>
      </c>
      <c r="EL126" s="378"/>
      <c r="EM126" s="57">
        <f t="shared" si="14"/>
        <v>0</v>
      </c>
      <c r="EN126" s="378">
        <v>0</v>
      </c>
      <c r="EO126" s="378"/>
      <c r="EP126" s="378">
        <f>IF(ER126&lt;&gt;0,EC126*ER126,0)</f>
        <v>0</v>
      </c>
      <c r="EQ126" s="378"/>
      <c r="ER126" s="385">
        <f t="shared" si="19"/>
        <v>0</v>
      </c>
      <c r="ES126" s="385"/>
      <c r="ET126" s="378">
        <f t="shared" si="16"/>
        <v>0</v>
      </c>
      <c r="EU126" s="378"/>
      <c r="EV126" s="82"/>
      <c r="EW126" s="82"/>
      <c r="EX126" s="82"/>
      <c r="EY126" s="82"/>
      <c r="EZ126" s="82"/>
      <c r="FA126" s="82"/>
      <c r="FB126" s="82"/>
      <c r="FC126" s="242"/>
      <c r="FD126" s="243"/>
    </row>
    <row r="127" spans="1:160" s="5" customFormat="1" ht="12" hidden="1">
      <c r="A127" s="156">
        <f t="shared" si="0"/>
        <v>1</v>
      </c>
      <c r="B127" s="4"/>
      <c r="D127" s="4"/>
      <c r="E127" s="53" t="str">
        <f t="shared" si="1"/>
        <v>--scegli il tipo d'imposta --►</v>
      </c>
      <c r="F127" s="53"/>
      <c r="G127" s="53"/>
      <c r="H127" s="53"/>
      <c r="I127" s="53"/>
      <c r="J127" s="53"/>
      <c r="K127" s="53"/>
      <c r="M127" s="53" t="str">
        <f t="shared" si="3"/>
        <v>--sc</v>
      </c>
      <c r="N127" s="53"/>
      <c r="X127" s="113">
        <f t="shared" si="4"/>
      </c>
      <c r="Y127" s="114" t="str">
        <f t="shared" si="5"/>
        <v>-▼</v>
      </c>
      <c r="Z127" s="110" t="str">
        <f t="shared" si="2"/>
        <v>-▼</v>
      </c>
      <c r="AA127" s="110"/>
      <c r="AB127" s="110"/>
      <c r="AC127" s="110"/>
      <c r="AD127" s="110"/>
      <c r="AE127" s="110"/>
      <c r="AF127" s="110"/>
      <c r="AG127" s="110"/>
      <c r="AH127" s="110"/>
      <c r="AI127" s="110"/>
      <c r="AJ127" s="110"/>
      <c r="AK127" s="110"/>
      <c r="AL127" s="111"/>
      <c r="CJ127"/>
      <c r="CK127"/>
      <c r="CL127"/>
      <c r="CM127"/>
      <c r="CN127"/>
      <c r="CO127"/>
      <c r="CP127"/>
      <c r="CQ127"/>
      <c r="CR127"/>
      <c r="CS127"/>
      <c r="CT127"/>
      <c r="CU127"/>
      <c r="CV127"/>
      <c r="CW127"/>
      <c r="CX127"/>
      <c r="CY127"/>
      <c r="CZ127"/>
      <c r="DA127"/>
      <c r="DB127"/>
      <c r="DC127"/>
      <c r="DD127" s="56" t="s">
        <v>85</v>
      </c>
      <c r="DE127" s="56"/>
      <c r="DF127" s="56"/>
      <c r="DG127" s="56"/>
      <c r="DH127" s="56"/>
      <c r="DI127" s="56"/>
      <c r="DJ127" s="56"/>
      <c r="DK127" s="56"/>
      <c r="DL127" s="56"/>
      <c r="DM127" s="56"/>
      <c r="DN127" s="56"/>
      <c r="DO127" s="56"/>
      <c r="DP127" s="56"/>
      <c r="DQ127" s="378" t="str">
        <f t="shared" si="6"/>
        <v>6099</v>
      </c>
      <c r="DR127" s="378"/>
      <c r="DS127" s="57">
        <v>2</v>
      </c>
      <c r="DT127" s="378" t="s">
        <v>54</v>
      </c>
      <c r="DU127" s="378"/>
      <c r="DV127" s="57">
        <v>1</v>
      </c>
      <c r="DW127" s="57">
        <v>2</v>
      </c>
      <c r="DX127" s="378">
        <v>1991</v>
      </c>
      <c r="DY127" s="378"/>
      <c r="DZ127" s="57">
        <v>2</v>
      </c>
      <c r="EA127" s="58">
        <f t="shared" si="17"/>
        <v>1</v>
      </c>
      <c r="EB127" s="58">
        <f t="shared" si="18"/>
        <v>1</v>
      </c>
      <c r="EC127" s="58">
        <f t="shared" si="7"/>
        <v>0</v>
      </c>
      <c r="ED127" s="378">
        <f t="shared" si="8"/>
        <v>0</v>
      </c>
      <c r="EE127" s="378"/>
      <c r="EF127" s="57">
        <f t="shared" si="9"/>
        <v>0</v>
      </c>
      <c r="EG127" s="378">
        <f t="shared" si="10"/>
        <v>0</v>
      </c>
      <c r="EH127" s="378"/>
      <c r="EI127" s="57">
        <f t="shared" si="11"/>
        <v>0</v>
      </c>
      <c r="EJ127" s="57">
        <f t="shared" si="12"/>
        <v>0</v>
      </c>
      <c r="EK127" s="378">
        <f t="shared" si="13"/>
        <v>0</v>
      </c>
      <c r="EL127" s="378"/>
      <c r="EM127" s="57">
        <f t="shared" si="14"/>
        <v>0</v>
      </c>
      <c r="EN127" s="378">
        <f>EC127*9999</f>
        <v>0</v>
      </c>
      <c r="EO127" s="378"/>
      <c r="EP127" s="378">
        <f>IF(ER127&lt;&gt;0,EC127*(ER127-1),0)</f>
        <v>0</v>
      </c>
      <c r="EQ127" s="378"/>
      <c r="ER127" s="385">
        <f t="shared" si="19"/>
        <v>0</v>
      </c>
      <c r="ES127" s="385"/>
      <c r="ET127" s="378">
        <f t="shared" si="16"/>
        <v>0</v>
      </c>
      <c r="EU127" s="378"/>
      <c r="EV127" s="82"/>
      <c r="EW127" s="82"/>
      <c r="EX127" s="82"/>
      <c r="EY127" s="82"/>
      <c r="EZ127" s="82"/>
      <c r="FA127" s="82"/>
      <c r="FB127" s="82"/>
      <c r="FC127" s="242"/>
      <c r="FD127" s="243"/>
    </row>
    <row r="128" spans="1:160" s="5" customFormat="1" ht="12" hidden="1">
      <c r="A128" s="156">
        <f t="shared" si="0"/>
        <v>1</v>
      </c>
      <c r="B128" s="4"/>
      <c r="D128" s="4"/>
      <c r="E128" s="53" t="str">
        <f t="shared" si="1"/>
        <v>--scegli il tipo d'imposta --►</v>
      </c>
      <c r="F128" s="53"/>
      <c r="G128" s="53"/>
      <c r="H128" s="53"/>
      <c r="I128" s="53"/>
      <c r="J128" s="53"/>
      <c r="K128" s="53"/>
      <c r="M128" s="53" t="str">
        <f t="shared" si="3"/>
        <v>--sc</v>
      </c>
      <c r="N128" s="53"/>
      <c r="X128" s="113">
        <f t="shared" si="4"/>
      </c>
      <c r="Y128" s="114" t="str">
        <f t="shared" si="5"/>
        <v>-▼</v>
      </c>
      <c r="Z128" s="110" t="str">
        <f t="shared" si="2"/>
        <v>-▼</v>
      </c>
      <c r="AA128" s="110"/>
      <c r="AB128" s="110"/>
      <c r="AC128" s="110"/>
      <c r="AD128" s="110"/>
      <c r="AE128" s="110"/>
      <c r="AF128" s="110"/>
      <c r="AG128" s="110"/>
      <c r="AH128" s="110"/>
      <c r="AI128" s="110"/>
      <c r="AJ128" s="110"/>
      <c r="AK128" s="110"/>
      <c r="AL128" s="111"/>
      <c r="CJ128"/>
      <c r="CK128"/>
      <c r="CL128"/>
      <c r="CM128"/>
      <c r="CN128"/>
      <c r="CO128"/>
      <c r="CP128"/>
      <c r="CQ128"/>
      <c r="CR128"/>
      <c r="CS128"/>
      <c r="CT128"/>
      <c r="CU128"/>
      <c r="CV128"/>
      <c r="CW128"/>
      <c r="CX128"/>
      <c r="CY128"/>
      <c r="CZ128"/>
      <c r="DA128"/>
      <c r="DB128"/>
      <c r="DC128"/>
      <c r="DD128" s="56" t="s">
        <v>86</v>
      </c>
      <c r="DE128" s="56"/>
      <c r="DF128" s="56"/>
      <c r="DG128" s="56"/>
      <c r="DH128" s="56"/>
      <c r="DI128" s="56"/>
      <c r="DJ128" s="56"/>
      <c r="DK128" s="56"/>
      <c r="DL128" s="56"/>
      <c r="DM128" s="56"/>
      <c r="DN128" s="56"/>
      <c r="DO128" s="56"/>
      <c r="DP128" s="56"/>
      <c r="DQ128" s="378" t="str">
        <f t="shared" si="6"/>
        <v>6494</v>
      </c>
      <c r="DR128" s="378"/>
      <c r="DS128" s="57">
        <v>2</v>
      </c>
      <c r="DT128" s="378" t="s">
        <v>54</v>
      </c>
      <c r="DU128" s="378"/>
      <c r="DV128" s="57">
        <v>1</v>
      </c>
      <c r="DW128" s="57">
        <v>2</v>
      </c>
      <c r="DX128" s="378">
        <v>1991</v>
      </c>
      <c r="DY128" s="378"/>
      <c r="DZ128" s="57">
        <v>2</v>
      </c>
      <c r="EA128" s="58">
        <f t="shared" si="17"/>
        <v>1</v>
      </c>
      <c r="EB128" s="58">
        <f t="shared" si="18"/>
        <v>1</v>
      </c>
      <c r="EC128" s="58">
        <f t="shared" si="7"/>
        <v>0</v>
      </c>
      <c r="ED128" s="378">
        <f t="shared" si="8"/>
        <v>0</v>
      </c>
      <c r="EE128" s="378"/>
      <c r="EF128" s="57">
        <f t="shared" si="9"/>
        <v>0</v>
      </c>
      <c r="EG128" s="378">
        <f t="shared" si="10"/>
        <v>0</v>
      </c>
      <c r="EH128" s="378"/>
      <c r="EI128" s="57">
        <f t="shared" si="11"/>
        <v>0</v>
      </c>
      <c r="EJ128" s="57">
        <f t="shared" si="12"/>
        <v>0</v>
      </c>
      <c r="EK128" s="378">
        <f t="shared" si="13"/>
        <v>0</v>
      </c>
      <c r="EL128" s="378"/>
      <c r="EM128" s="57">
        <f t="shared" si="14"/>
        <v>0</v>
      </c>
      <c r="EN128" s="378">
        <f>EC128*9999</f>
        <v>0</v>
      </c>
      <c r="EO128" s="378"/>
      <c r="EP128" s="378">
        <f>IF(ER128&lt;&gt;0,EC128*(ER128-1),0)</f>
        <v>0</v>
      </c>
      <c r="EQ128" s="378"/>
      <c r="ER128" s="385">
        <f t="shared" si="19"/>
        <v>0</v>
      </c>
      <c r="ES128" s="385"/>
      <c r="ET128" s="378">
        <f t="shared" si="16"/>
        <v>0</v>
      </c>
      <c r="EU128" s="378"/>
      <c r="EV128" s="82"/>
      <c r="EW128" s="82"/>
      <c r="EX128" s="82"/>
      <c r="EY128" s="82"/>
      <c r="EZ128" s="82"/>
      <c r="FA128" s="82"/>
      <c r="FB128" s="82"/>
      <c r="FC128" s="242"/>
      <c r="FD128" s="243"/>
    </row>
    <row r="129" spans="1:160" s="5" customFormat="1" ht="12" hidden="1">
      <c r="A129" s="156">
        <f t="shared" si="0"/>
        <v>1</v>
      </c>
      <c r="B129" s="4"/>
      <c r="D129" s="4"/>
      <c r="E129" s="53" t="str">
        <f t="shared" si="1"/>
        <v>--scegli il tipo d'imposta --►</v>
      </c>
      <c r="F129" s="53"/>
      <c r="G129" s="53"/>
      <c r="H129" s="53"/>
      <c r="I129" s="53"/>
      <c r="J129" s="53"/>
      <c r="K129" s="53"/>
      <c r="M129" s="53" t="str">
        <f t="shared" si="3"/>
        <v>--sc</v>
      </c>
      <c r="N129" s="53"/>
      <c r="X129" s="113">
        <f t="shared" si="4"/>
      </c>
      <c r="Y129" s="114" t="str">
        <f t="shared" si="5"/>
        <v>-▼</v>
      </c>
      <c r="Z129" s="110" t="str">
        <f t="shared" si="2"/>
        <v>-▼</v>
      </c>
      <c r="AA129" s="110"/>
      <c r="AB129" s="110"/>
      <c r="AC129" s="110"/>
      <c r="AD129" s="110"/>
      <c r="AE129" s="110"/>
      <c r="AF129" s="110"/>
      <c r="AG129" s="110"/>
      <c r="AH129" s="110"/>
      <c r="AI129" s="110"/>
      <c r="AJ129" s="110"/>
      <c r="AK129" s="110"/>
      <c r="AL129" s="111"/>
      <c r="AT129" s="224" t="s">
        <v>87</v>
      </c>
      <c r="AU129" s="224">
        <f>MOD(YEAR(AR137),19)</f>
        <v>0</v>
      </c>
      <c r="AV129" s="227">
        <f>IF(AU129&gt;10,1,0)</f>
        <v>0</v>
      </c>
      <c r="BJ129" s="224" t="s">
        <v>87</v>
      </c>
      <c r="BK129" s="224">
        <f>MOD(YEAR(BH137),19)</f>
        <v>0</v>
      </c>
      <c r="BL129" s="227">
        <f>IF(BK129&gt;10,1,0)</f>
        <v>0</v>
      </c>
      <c r="CJ129"/>
      <c r="CK129"/>
      <c r="CL129"/>
      <c r="CM129"/>
      <c r="CN129"/>
      <c r="CO129"/>
      <c r="CP129"/>
      <c r="CQ129"/>
      <c r="CR129"/>
      <c r="CS129"/>
      <c r="CT129"/>
      <c r="CU129"/>
      <c r="CV129"/>
      <c r="CW129"/>
      <c r="CX129"/>
      <c r="CY129"/>
      <c r="CZ129"/>
      <c r="DA129"/>
      <c r="DB129"/>
      <c r="DC129"/>
      <c r="DD129" s="56" t="s">
        <v>88</v>
      </c>
      <c r="DE129" s="56"/>
      <c r="DF129" s="56"/>
      <c r="DG129" s="56"/>
      <c r="DH129" s="56"/>
      <c r="DI129" s="56"/>
      <c r="DJ129" s="56"/>
      <c r="DK129" s="56"/>
      <c r="DL129" s="56"/>
      <c r="DM129" s="56"/>
      <c r="DN129" s="56"/>
      <c r="DO129" s="56"/>
      <c r="DP129" s="56"/>
      <c r="DQ129" s="478" t="str">
        <f t="shared" si="6"/>
        <v>2521</v>
      </c>
      <c r="DR129" s="478"/>
      <c r="DS129" s="57">
        <v>2</v>
      </c>
      <c r="DT129" s="478">
        <v>2525</v>
      </c>
      <c r="DU129" s="478"/>
      <c r="DV129" s="57">
        <v>1</v>
      </c>
      <c r="DW129" s="57">
        <v>2</v>
      </c>
      <c r="DX129" s="478">
        <v>2526</v>
      </c>
      <c r="DY129" s="478"/>
      <c r="DZ129" s="57">
        <v>2</v>
      </c>
      <c r="EA129" s="58">
        <f t="shared" si="17"/>
        <v>1</v>
      </c>
      <c r="EB129" s="58">
        <f t="shared" si="18"/>
        <v>1</v>
      </c>
      <c r="EC129" s="58">
        <f t="shared" si="7"/>
        <v>0</v>
      </c>
      <c r="ED129" s="378">
        <f t="shared" si="8"/>
        <v>0</v>
      </c>
      <c r="EE129" s="378"/>
      <c r="EF129" s="57">
        <f t="shared" si="9"/>
        <v>0</v>
      </c>
      <c r="EG129" s="378">
        <f t="shared" si="10"/>
        <v>0</v>
      </c>
      <c r="EH129" s="378"/>
      <c r="EI129" s="57">
        <f t="shared" si="11"/>
        <v>0</v>
      </c>
      <c r="EJ129" s="57">
        <f t="shared" si="12"/>
        <v>0</v>
      </c>
      <c r="EK129" s="378">
        <f t="shared" si="13"/>
        <v>0</v>
      </c>
      <c r="EL129" s="378"/>
      <c r="EM129" s="57">
        <f t="shared" si="14"/>
        <v>0</v>
      </c>
      <c r="EN129" s="378">
        <v>0</v>
      </c>
      <c r="EO129" s="378"/>
      <c r="EP129" s="378">
        <f>IF(ER129&lt;&gt;0,EC129*ER129,0)</f>
        <v>0</v>
      </c>
      <c r="EQ129" s="378"/>
      <c r="ER129" s="385">
        <f t="shared" si="19"/>
        <v>0</v>
      </c>
      <c r="ES129" s="385"/>
      <c r="ET129" s="378">
        <f t="shared" si="16"/>
        <v>0</v>
      </c>
      <c r="EU129" s="378"/>
      <c r="EV129" s="82"/>
      <c r="EW129" s="82"/>
      <c r="EX129" s="82"/>
      <c r="EY129" s="82"/>
      <c r="EZ129" s="82"/>
      <c r="FA129" s="82"/>
      <c r="FB129" s="82"/>
      <c r="FC129" s="242"/>
      <c r="FD129" s="243"/>
    </row>
    <row r="130" spans="1:160" s="5" customFormat="1" ht="12" hidden="1">
      <c r="A130" s="156">
        <f t="shared" si="0"/>
        <v>1</v>
      </c>
      <c r="B130" s="4"/>
      <c r="D130" s="4"/>
      <c r="E130" s="53" t="str">
        <f t="shared" si="1"/>
        <v>--scegli il tipo d'imposta --►</v>
      </c>
      <c r="F130" s="53"/>
      <c r="G130" s="53"/>
      <c r="H130" s="53"/>
      <c r="I130" s="53"/>
      <c r="J130" s="53"/>
      <c r="K130" s="53"/>
      <c r="M130" s="53" t="str">
        <f t="shared" si="3"/>
        <v>--sc</v>
      </c>
      <c r="N130" s="53"/>
      <c r="X130" s="113">
        <f t="shared" si="4"/>
      </c>
      <c r="Y130" s="114" t="str">
        <f t="shared" si="5"/>
        <v>-▼</v>
      </c>
      <c r="Z130" s="110" t="str">
        <f t="shared" si="2"/>
        <v>-▼</v>
      </c>
      <c r="AA130" s="110"/>
      <c r="AB130" s="110"/>
      <c r="AC130" s="110"/>
      <c r="AD130" s="110"/>
      <c r="AE130" s="110"/>
      <c r="AF130" s="110"/>
      <c r="AG130" s="110"/>
      <c r="AH130" s="110"/>
      <c r="AI130" s="110"/>
      <c r="AJ130" s="110"/>
      <c r="AK130" s="110"/>
      <c r="AL130" s="111"/>
      <c r="AT130" s="224" t="s">
        <v>89</v>
      </c>
      <c r="AU130" s="224">
        <f>MOD(YEAR(AR137),4)</f>
        <v>0</v>
      </c>
      <c r="AV130" s="228"/>
      <c r="BJ130" s="224" t="s">
        <v>89</v>
      </c>
      <c r="BK130" s="224">
        <f>MOD(YEAR(BH137),4)</f>
        <v>0</v>
      </c>
      <c r="BL130" s="228"/>
      <c r="CJ130"/>
      <c r="CK130"/>
      <c r="CL130"/>
      <c r="CM130"/>
      <c r="CN130"/>
      <c r="CO130"/>
      <c r="CP130"/>
      <c r="CQ130"/>
      <c r="CR130"/>
      <c r="CS130"/>
      <c r="CT130"/>
      <c r="CU130"/>
      <c r="CV130"/>
      <c r="CW130"/>
      <c r="CX130"/>
      <c r="CY130"/>
      <c r="CZ130"/>
      <c r="DA130"/>
      <c r="DB130"/>
      <c r="DC130"/>
      <c r="DD130" s="56" t="s">
        <v>90</v>
      </c>
      <c r="DE130" s="56"/>
      <c r="DF130" s="56"/>
      <c r="DG130" s="56"/>
      <c r="DH130" s="56"/>
      <c r="DI130" s="56"/>
      <c r="DJ130" s="56"/>
      <c r="DK130" s="56"/>
      <c r="DL130" s="56"/>
      <c r="DM130" s="56"/>
      <c r="DN130" s="56"/>
      <c r="DO130" s="56"/>
      <c r="DP130" s="56"/>
      <c r="DQ130" s="478" t="str">
        <f t="shared" si="6"/>
        <v>2522</v>
      </c>
      <c r="DR130" s="478"/>
      <c r="DS130" s="57">
        <v>2</v>
      </c>
      <c r="DT130" s="478">
        <v>2525</v>
      </c>
      <c r="DU130" s="478"/>
      <c r="DV130" s="57">
        <v>1</v>
      </c>
      <c r="DW130" s="57">
        <v>2</v>
      </c>
      <c r="DX130" s="478">
        <v>2526</v>
      </c>
      <c r="DY130" s="478"/>
      <c r="DZ130" s="57">
        <v>2</v>
      </c>
      <c r="EA130" s="58">
        <f t="shared" si="17"/>
        <v>1</v>
      </c>
      <c r="EB130" s="58">
        <f t="shared" si="18"/>
        <v>1</v>
      </c>
      <c r="EC130" s="58">
        <f t="shared" si="7"/>
        <v>0</v>
      </c>
      <c r="ED130" s="378">
        <f t="shared" si="8"/>
        <v>0</v>
      </c>
      <c r="EE130" s="378"/>
      <c r="EF130" s="57">
        <f t="shared" si="9"/>
        <v>0</v>
      </c>
      <c r="EG130" s="378">
        <f t="shared" si="10"/>
        <v>0</v>
      </c>
      <c r="EH130" s="378"/>
      <c r="EI130" s="57">
        <f t="shared" si="11"/>
        <v>0</v>
      </c>
      <c r="EJ130" s="57">
        <f t="shared" si="12"/>
        <v>0</v>
      </c>
      <c r="EK130" s="378">
        <f t="shared" si="13"/>
        <v>0</v>
      </c>
      <c r="EL130" s="378"/>
      <c r="EM130" s="57">
        <f t="shared" si="14"/>
        <v>0</v>
      </c>
      <c r="EN130" s="378">
        <v>0</v>
      </c>
      <c r="EO130" s="378"/>
      <c r="EP130" s="378">
        <f>IF(ER130&lt;&gt;0,EC130*ER130,0)</f>
        <v>0</v>
      </c>
      <c r="EQ130" s="378"/>
      <c r="ER130" s="385">
        <f t="shared" si="19"/>
        <v>0</v>
      </c>
      <c r="ES130" s="385"/>
      <c r="ET130" s="378">
        <f t="shared" si="16"/>
        <v>0</v>
      </c>
      <c r="EU130" s="378"/>
      <c r="EV130" s="82"/>
      <c r="EW130" s="82"/>
      <c r="EX130" s="82"/>
      <c r="EY130" s="82"/>
      <c r="EZ130" s="82"/>
      <c r="FA130" s="82"/>
      <c r="FB130" s="82"/>
      <c r="FC130" s="242"/>
      <c r="FD130" s="243"/>
    </row>
    <row r="131" spans="1:160" s="5" customFormat="1" ht="12" hidden="1">
      <c r="A131" s="156">
        <f t="shared" si="0"/>
        <v>1</v>
      </c>
      <c r="B131" s="4"/>
      <c r="D131" s="4"/>
      <c r="E131" s="53" t="str">
        <f t="shared" si="1"/>
        <v>--scegli il tipo d'imposta --►</v>
      </c>
      <c r="F131" s="53"/>
      <c r="G131" s="53"/>
      <c r="H131" s="53"/>
      <c r="I131" s="53"/>
      <c r="J131" s="53"/>
      <c r="K131" s="53"/>
      <c r="M131" s="53" t="str">
        <f t="shared" si="3"/>
        <v>--sc</v>
      </c>
      <c r="N131" s="53"/>
      <c r="X131" s="113">
        <f t="shared" si="4"/>
      </c>
      <c r="Y131" s="114" t="str">
        <f t="shared" si="5"/>
        <v>-▼</v>
      </c>
      <c r="Z131" s="110" t="str">
        <f t="shared" si="2"/>
        <v>-▼</v>
      </c>
      <c r="AA131" s="110"/>
      <c r="AB131" s="110"/>
      <c r="AC131" s="110"/>
      <c r="AD131" s="110"/>
      <c r="AE131" s="110"/>
      <c r="AF131" s="110"/>
      <c r="AG131" s="110"/>
      <c r="AH131" s="110"/>
      <c r="AI131" s="110"/>
      <c r="AJ131" s="110"/>
      <c r="AK131" s="110"/>
      <c r="AL131" s="111"/>
      <c r="AT131" s="224" t="s">
        <v>91</v>
      </c>
      <c r="AU131" s="224">
        <f>MOD(YEAR(AR137),7)</f>
        <v>3</v>
      </c>
      <c r="AV131" s="228"/>
      <c r="BJ131" s="224" t="s">
        <v>91</v>
      </c>
      <c r="BK131" s="224">
        <f>MOD(YEAR(BH137),7)</f>
        <v>3</v>
      </c>
      <c r="BL131" s="228"/>
      <c r="CJ131"/>
      <c r="CK131"/>
      <c r="CL131"/>
      <c r="CM131"/>
      <c r="CN131"/>
      <c r="CO131"/>
      <c r="CP131"/>
      <c r="CQ131"/>
      <c r="CR131"/>
      <c r="CS131"/>
      <c r="CT131"/>
      <c r="CU131"/>
      <c r="CV131"/>
      <c r="CW131"/>
      <c r="CX131"/>
      <c r="CY131"/>
      <c r="CZ131"/>
      <c r="DA131"/>
      <c r="DB131"/>
      <c r="DC131"/>
      <c r="DD131" s="56" t="s">
        <v>92</v>
      </c>
      <c r="DE131" s="56"/>
      <c r="DF131" s="56"/>
      <c r="DG131" s="56"/>
      <c r="DH131" s="56"/>
      <c r="DI131" s="56"/>
      <c r="DJ131" s="56"/>
      <c r="DK131" s="56"/>
      <c r="DL131" s="56"/>
      <c r="DM131" s="56"/>
      <c r="DN131" s="56"/>
      <c r="DO131" s="56"/>
      <c r="DP131" s="56"/>
      <c r="DQ131" s="478" t="str">
        <f t="shared" si="6"/>
        <v>2523</v>
      </c>
      <c r="DR131" s="478"/>
      <c r="DS131" s="57">
        <v>2</v>
      </c>
      <c r="DT131" s="478">
        <v>2525</v>
      </c>
      <c r="DU131" s="478"/>
      <c r="DV131" s="57">
        <v>1</v>
      </c>
      <c r="DW131" s="57">
        <v>2</v>
      </c>
      <c r="DX131" s="478">
        <v>2526</v>
      </c>
      <c r="DY131" s="478"/>
      <c r="DZ131" s="57">
        <v>2</v>
      </c>
      <c r="EA131" s="58">
        <f t="shared" si="17"/>
        <v>1</v>
      </c>
      <c r="EB131" s="58">
        <f t="shared" si="18"/>
        <v>1</v>
      </c>
      <c r="EC131" s="58">
        <f t="shared" si="7"/>
        <v>0</v>
      </c>
      <c r="ED131" s="378">
        <f t="shared" si="8"/>
        <v>0</v>
      </c>
      <c r="EE131" s="378"/>
      <c r="EF131" s="57">
        <f t="shared" si="9"/>
        <v>0</v>
      </c>
      <c r="EG131" s="378">
        <f t="shared" si="10"/>
        <v>0</v>
      </c>
      <c r="EH131" s="378"/>
      <c r="EI131" s="57">
        <f t="shared" si="11"/>
        <v>0</v>
      </c>
      <c r="EJ131" s="57">
        <f t="shared" si="12"/>
        <v>0</v>
      </c>
      <c r="EK131" s="378">
        <f t="shared" si="13"/>
        <v>0</v>
      </c>
      <c r="EL131" s="378"/>
      <c r="EM131" s="57">
        <f t="shared" si="14"/>
        <v>0</v>
      </c>
      <c r="EN131" s="378">
        <v>0</v>
      </c>
      <c r="EO131" s="378"/>
      <c r="EP131" s="378">
        <f>IF(ER131&lt;&gt;0,EC131*ER131,0)</f>
        <v>0</v>
      </c>
      <c r="EQ131" s="378"/>
      <c r="ER131" s="385">
        <f t="shared" si="19"/>
        <v>0</v>
      </c>
      <c r="ES131" s="385"/>
      <c r="ET131" s="378">
        <f t="shared" si="16"/>
        <v>0</v>
      </c>
      <c r="EU131" s="378"/>
      <c r="EV131" s="82"/>
      <c r="EW131" s="82"/>
      <c r="EX131" s="82"/>
      <c r="EY131" s="82"/>
      <c r="EZ131" s="82"/>
      <c r="FA131" s="82"/>
      <c r="FB131" s="82"/>
      <c r="FC131" s="242"/>
      <c r="FD131" s="243"/>
    </row>
    <row r="132" spans="1:160" s="5" customFormat="1" ht="12" hidden="1">
      <c r="A132" s="156">
        <f t="shared" si="0"/>
        <v>1</v>
      </c>
      <c r="B132" s="4"/>
      <c r="D132" s="4"/>
      <c r="E132" s="53" t="str">
        <f t="shared" si="1"/>
        <v>--scegli il tipo d'imposta --►</v>
      </c>
      <c r="F132" s="53"/>
      <c r="G132" s="53"/>
      <c r="H132" s="53"/>
      <c r="I132" s="53"/>
      <c r="J132" s="53"/>
      <c r="K132" s="53"/>
      <c r="M132" s="53" t="str">
        <f t="shared" si="3"/>
        <v>--sc</v>
      </c>
      <c r="N132" s="53"/>
      <c r="X132" s="113">
        <f t="shared" si="4"/>
      </c>
      <c r="Y132" s="114" t="str">
        <f t="shared" si="5"/>
        <v>-▼</v>
      </c>
      <c r="Z132" s="110" t="str">
        <f t="shared" si="2"/>
        <v>-▼</v>
      </c>
      <c r="AA132" s="110"/>
      <c r="AB132" s="110"/>
      <c r="AC132" s="110"/>
      <c r="AD132" s="110"/>
      <c r="AE132" s="110"/>
      <c r="AF132" s="110"/>
      <c r="AG132" s="110"/>
      <c r="AH132" s="110"/>
      <c r="AI132" s="110"/>
      <c r="AJ132" s="110"/>
      <c r="AK132" s="110"/>
      <c r="AL132" s="111"/>
      <c r="AT132" s="224" t="s">
        <v>93</v>
      </c>
      <c r="AU132" s="224">
        <f>MOD(19*AU129+24,30)</f>
        <v>24</v>
      </c>
      <c r="AV132" s="228">
        <f>IF(AU132=28,1,0)</f>
        <v>0</v>
      </c>
      <c r="BJ132" s="224" t="s">
        <v>93</v>
      </c>
      <c r="BK132" s="224">
        <f>MOD(19*BK129+24,30)</f>
        <v>24</v>
      </c>
      <c r="BL132" s="228">
        <f>IF(BK132=28,1,0)</f>
        <v>0</v>
      </c>
      <c r="CJ132"/>
      <c r="CK132"/>
      <c r="CL132"/>
      <c r="CM132"/>
      <c r="CN132"/>
      <c r="CO132"/>
      <c r="CP132"/>
      <c r="CQ132"/>
      <c r="CR132"/>
      <c r="CS132"/>
      <c r="CT132"/>
      <c r="CU132"/>
      <c r="CV132"/>
      <c r="CW132"/>
      <c r="CX132"/>
      <c r="CY132"/>
      <c r="CZ132"/>
      <c r="DA132"/>
      <c r="DB132"/>
      <c r="DC132"/>
      <c r="DD132" s="56" t="s">
        <v>14</v>
      </c>
      <c r="DE132" s="56"/>
      <c r="DF132" s="56"/>
      <c r="DG132" s="56"/>
      <c r="DH132" s="56"/>
      <c r="DI132" s="56"/>
      <c r="DJ132" s="56"/>
      <c r="DK132" s="56"/>
      <c r="DL132" s="56"/>
      <c r="DM132" s="56"/>
      <c r="DN132" s="56"/>
      <c r="DO132" s="56"/>
      <c r="DP132" s="56"/>
      <c r="DQ132" s="57"/>
      <c r="DR132" s="57"/>
      <c r="DS132" s="57"/>
      <c r="DT132" s="57"/>
      <c r="DU132" s="57"/>
      <c r="DV132" s="57"/>
      <c r="DW132" s="57"/>
      <c r="DX132" s="57"/>
      <c r="DY132" s="57"/>
      <c r="DZ132" s="57"/>
      <c r="EA132" s="57"/>
      <c r="EB132" s="58"/>
      <c r="EC132" s="58"/>
      <c r="ED132" s="57"/>
      <c r="EE132" s="57"/>
      <c r="EF132" s="57"/>
      <c r="EG132" s="57"/>
      <c r="EH132" s="57"/>
      <c r="EI132" s="57"/>
      <c r="EJ132" s="57"/>
      <c r="EK132" s="57"/>
      <c r="EL132" s="57"/>
      <c r="EM132" s="57"/>
      <c r="EN132" s="57"/>
      <c r="EO132" s="57"/>
      <c r="EP132" s="57"/>
      <c r="EQ132" s="57"/>
      <c r="ER132" s="385"/>
      <c r="ES132" s="385"/>
      <c r="ET132" s="57"/>
      <c r="EU132" s="57"/>
      <c r="EV132" s="82"/>
      <c r="EW132" s="82"/>
      <c r="EX132" s="82"/>
      <c r="EY132" s="82"/>
      <c r="EZ132" s="82"/>
      <c r="FA132" s="82"/>
      <c r="FB132" s="82"/>
      <c r="FC132" s="242"/>
      <c r="FD132" s="243"/>
    </row>
    <row r="133" spans="1:160" s="5" customFormat="1" ht="12" hidden="1">
      <c r="A133" s="156">
        <f t="shared" si="0"/>
        <v>1</v>
      </c>
      <c r="B133" s="4"/>
      <c r="D133" s="4"/>
      <c r="E133" s="53" t="str">
        <f t="shared" si="1"/>
        <v>--scegli il tipo d'imposta --►</v>
      </c>
      <c r="F133" s="53"/>
      <c r="G133" s="53"/>
      <c r="H133" s="53"/>
      <c r="I133" s="53"/>
      <c r="J133" s="53"/>
      <c r="K133" s="53"/>
      <c r="M133" s="53" t="str">
        <f t="shared" si="3"/>
        <v>--sc</v>
      </c>
      <c r="N133" s="53"/>
      <c r="X133" s="113">
        <f t="shared" si="4"/>
      </c>
      <c r="Y133" s="114" t="str">
        <f t="shared" si="5"/>
        <v>-▼</v>
      </c>
      <c r="Z133" s="110" t="str">
        <f t="shared" si="2"/>
        <v>-▼</v>
      </c>
      <c r="AA133" s="110"/>
      <c r="AB133" s="110"/>
      <c r="AC133" s="110"/>
      <c r="AD133" s="110"/>
      <c r="AE133" s="110"/>
      <c r="AF133" s="110"/>
      <c r="AG133" s="110"/>
      <c r="AH133" s="110"/>
      <c r="AI133" s="110"/>
      <c r="AJ133" s="110"/>
      <c r="AK133" s="110"/>
      <c r="AL133" s="111"/>
      <c r="AT133" s="224" t="s">
        <v>94</v>
      </c>
      <c r="AU133" s="224">
        <f>MOD(2*AU130+4*AU131+6*AU132+5,7)</f>
        <v>0</v>
      </c>
      <c r="AV133" s="228">
        <f>IF(AU133=6,1,0)</f>
        <v>0</v>
      </c>
      <c r="BJ133" s="224" t="s">
        <v>94</v>
      </c>
      <c r="BK133" s="224">
        <f>MOD(2*BK130+4*BK131+6*BK132+5,7)</f>
        <v>0</v>
      </c>
      <c r="BL133" s="228">
        <f>IF(BK133=6,1,0)</f>
        <v>0</v>
      </c>
      <c r="CJ133"/>
      <c r="CK133"/>
      <c r="CL133"/>
      <c r="CM133"/>
      <c r="CN133"/>
      <c r="CO133"/>
      <c r="CP133"/>
      <c r="CQ133"/>
      <c r="CR133"/>
      <c r="CS133"/>
      <c r="CT133"/>
      <c r="CU133"/>
      <c r="CV133"/>
      <c r="CW133"/>
      <c r="CX133"/>
      <c r="CY133"/>
      <c r="CZ133"/>
      <c r="DA133"/>
      <c r="DB133"/>
      <c r="DC133"/>
      <c r="DD133" s="56" t="s">
        <v>14</v>
      </c>
      <c r="DE133" s="56"/>
      <c r="DF133" s="56"/>
      <c r="DG133" s="56"/>
      <c r="DH133" s="56"/>
      <c r="DI133" s="56"/>
      <c r="DJ133" s="56"/>
      <c r="DK133" s="56"/>
      <c r="DL133" s="56"/>
      <c r="DM133" s="56"/>
      <c r="DN133" s="56"/>
      <c r="DO133" s="56"/>
      <c r="DP133" s="56"/>
      <c r="DQ133" s="57"/>
      <c r="DR133" s="57"/>
      <c r="DS133" s="57"/>
      <c r="DT133" s="57"/>
      <c r="DU133" s="57"/>
      <c r="DV133" s="57"/>
      <c r="DW133" s="57"/>
      <c r="DX133" s="57"/>
      <c r="DY133" s="57"/>
      <c r="DZ133" s="57"/>
      <c r="EA133" s="57"/>
      <c r="EB133" s="58"/>
      <c r="EC133" s="58"/>
      <c r="ED133" s="57"/>
      <c r="EE133" s="57"/>
      <c r="EF133" s="57"/>
      <c r="EG133" s="57"/>
      <c r="EH133" s="57"/>
      <c r="EI133" s="57"/>
      <c r="EJ133" s="57"/>
      <c r="EK133" s="57"/>
      <c r="EL133" s="57"/>
      <c r="EM133" s="57"/>
      <c r="EN133" s="57"/>
      <c r="EO133" s="57"/>
      <c r="EP133" s="57"/>
      <c r="EQ133" s="57"/>
      <c r="ER133" s="385"/>
      <c r="ES133" s="385"/>
      <c r="ET133" s="57"/>
      <c r="EU133" s="57"/>
      <c r="EV133" s="82"/>
      <c r="EW133" s="82"/>
      <c r="EX133" s="82"/>
      <c r="EY133" s="82"/>
      <c r="EZ133" s="82"/>
      <c r="FA133" s="82"/>
      <c r="FB133" s="82"/>
      <c r="FC133" s="242"/>
      <c r="FD133" s="243"/>
    </row>
    <row r="134" spans="1:160" s="5" customFormat="1" ht="12" hidden="1">
      <c r="A134" s="156">
        <f t="shared" si="0"/>
        <v>1</v>
      </c>
      <c r="B134" s="4"/>
      <c r="D134" s="4"/>
      <c r="E134" s="53" t="str">
        <f t="shared" si="1"/>
        <v>--scegli il tipo d'imposta --►</v>
      </c>
      <c r="F134" s="53"/>
      <c r="G134" s="53"/>
      <c r="H134" s="53"/>
      <c r="I134" s="53"/>
      <c r="J134" s="53"/>
      <c r="K134" s="53"/>
      <c r="M134" s="53" t="str">
        <f t="shared" si="3"/>
        <v>--sc</v>
      </c>
      <c r="N134" s="53"/>
      <c r="X134" s="113">
        <f t="shared" si="4"/>
      </c>
      <c r="Y134" s="114" t="str">
        <f t="shared" si="5"/>
        <v>-▼</v>
      </c>
      <c r="Z134" s="110" t="str">
        <f t="shared" si="2"/>
        <v>-▼</v>
      </c>
      <c r="AA134" s="110"/>
      <c r="AB134" s="110"/>
      <c r="AC134" s="110"/>
      <c r="AD134" s="110"/>
      <c r="AE134" s="110"/>
      <c r="AF134" s="110"/>
      <c r="AG134" s="110"/>
      <c r="AH134" s="110"/>
      <c r="AI134" s="110"/>
      <c r="AJ134" s="110"/>
      <c r="AK134" s="110"/>
      <c r="AL134" s="111"/>
      <c r="AT134" s="224" t="s">
        <v>40</v>
      </c>
      <c r="AU134" s="224">
        <f>IF(AU132+AU133&lt;10,3,4)</f>
        <v>4</v>
      </c>
      <c r="AV134" s="229"/>
      <c r="BJ134" s="224" t="s">
        <v>40</v>
      </c>
      <c r="BK134" s="224">
        <f>IF(BK132+BK133&lt;10,3,4)</f>
        <v>4</v>
      </c>
      <c r="BL134" s="229"/>
      <c r="CJ134"/>
      <c r="CK134"/>
      <c r="CL134"/>
      <c r="CM134"/>
      <c r="CN134"/>
      <c r="CO134"/>
      <c r="CP134"/>
      <c r="CQ134"/>
      <c r="CR134"/>
      <c r="CS134"/>
      <c r="CT134"/>
      <c r="CU134"/>
      <c r="CV134"/>
      <c r="CW134"/>
      <c r="CX134"/>
      <c r="CY134"/>
      <c r="CZ134"/>
      <c r="DA134"/>
      <c r="DB134"/>
      <c r="DC134"/>
      <c r="DD134" s="56" t="s">
        <v>14</v>
      </c>
      <c r="DE134" s="56"/>
      <c r="DF134" s="56"/>
      <c r="DG134" s="56"/>
      <c r="DH134" s="56"/>
      <c r="DI134" s="56"/>
      <c r="DJ134" s="56"/>
      <c r="DK134" s="56"/>
      <c r="DL134" s="56"/>
      <c r="DM134" s="56"/>
      <c r="DN134" s="56"/>
      <c r="DO134" s="56"/>
      <c r="DP134" s="56"/>
      <c r="DQ134" s="57"/>
      <c r="DR134" s="57"/>
      <c r="DS134" s="57"/>
      <c r="DT134" s="57"/>
      <c r="DU134" s="57"/>
      <c r="DV134" s="57"/>
      <c r="DW134" s="57"/>
      <c r="DX134" s="57"/>
      <c r="DY134" s="57"/>
      <c r="DZ134" s="57"/>
      <c r="EA134" s="57"/>
      <c r="EB134" s="58"/>
      <c r="EC134" s="58"/>
      <c r="ED134" s="57"/>
      <c r="EE134" s="57"/>
      <c r="EF134" s="57"/>
      <c r="EG134" s="57"/>
      <c r="EH134" s="57"/>
      <c r="EI134" s="57"/>
      <c r="EJ134" s="57"/>
      <c r="EK134" s="57"/>
      <c r="EL134" s="57"/>
      <c r="EM134" s="57"/>
      <c r="EN134" s="57"/>
      <c r="EO134" s="57"/>
      <c r="EP134" s="57"/>
      <c r="EQ134" s="57"/>
      <c r="ER134" s="385"/>
      <c r="ES134" s="385"/>
      <c r="ET134" s="57"/>
      <c r="EU134" s="57"/>
      <c r="EV134" s="82"/>
      <c r="EW134" s="82"/>
      <c r="EX134" s="82"/>
      <c r="EY134" s="82"/>
      <c r="EZ134" s="82"/>
      <c r="FA134" s="82"/>
      <c r="FB134" s="82"/>
      <c r="FC134" s="242"/>
      <c r="FD134" s="243"/>
    </row>
    <row r="135" spans="1:160" s="5" customFormat="1" ht="12" hidden="1">
      <c r="A135" s="156">
        <f t="shared" si="0"/>
        <v>1</v>
      </c>
      <c r="B135" s="4"/>
      <c r="D135" s="4"/>
      <c r="E135" s="53" t="str">
        <f t="shared" si="1"/>
        <v>--scegli il tipo d'imposta --►</v>
      </c>
      <c r="F135" s="53"/>
      <c r="G135" s="53"/>
      <c r="H135" s="53"/>
      <c r="I135" s="53"/>
      <c r="J135" s="53"/>
      <c r="K135" s="53"/>
      <c r="M135" s="53" t="str">
        <f t="shared" si="3"/>
        <v>--sc</v>
      </c>
      <c r="N135" s="53"/>
      <c r="X135" s="113">
        <f t="shared" si="4"/>
      </c>
      <c r="Y135" s="114" t="str">
        <f t="shared" si="5"/>
        <v>-▼</v>
      </c>
      <c r="Z135" s="110" t="str">
        <f t="shared" si="2"/>
        <v>-▼</v>
      </c>
      <c r="AA135" s="110"/>
      <c r="AB135" s="110"/>
      <c r="AC135" s="110"/>
      <c r="AD135" s="110"/>
      <c r="AE135" s="110"/>
      <c r="AF135" s="110"/>
      <c r="AG135" s="110"/>
      <c r="AH135" s="110"/>
      <c r="AI135" s="110"/>
      <c r="AJ135" s="110"/>
      <c r="AK135" s="110"/>
      <c r="AL135" s="111"/>
      <c r="AT135" s="224" t="s">
        <v>95</v>
      </c>
      <c r="AU135" s="224">
        <f>IF(AU134=3,AU132+AU133+22,IF(AU132+AU133-9=26,19,IF((AU132+AU133-9)*AV135=25,18,AU132+AU133-9)))</f>
        <v>15</v>
      </c>
      <c r="AV135" s="229">
        <f>AV129*AV132*AV133</f>
        <v>0</v>
      </c>
      <c r="BJ135" s="224" t="s">
        <v>95</v>
      </c>
      <c r="BK135" s="224">
        <f>IF(BK134=3,BK132+BK133+22,IF(BK132+BK133-9=26,19,IF((BK132+BK133-9)*BL135=25,18,BK132+BK133-9)))</f>
        <v>15</v>
      </c>
      <c r="BL135" s="229">
        <f>BL129*BL132*BL133</f>
        <v>0</v>
      </c>
      <c r="CJ135"/>
      <c r="CK135"/>
      <c r="CL135"/>
      <c r="CM135"/>
      <c r="CN135"/>
      <c r="CO135"/>
      <c r="CP135"/>
      <c r="CQ135"/>
      <c r="CR135"/>
      <c r="CS135"/>
      <c r="CT135"/>
      <c r="CU135"/>
      <c r="CV135"/>
      <c r="CW135"/>
      <c r="CX135"/>
      <c r="CY135"/>
      <c r="CZ135"/>
      <c r="DA135"/>
      <c r="DB135"/>
      <c r="DC135"/>
      <c r="DD135" s="56" t="s">
        <v>14</v>
      </c>
      <c r="DE135" s="56"/>
      <c r="DF135" s="56"/>
      <c r="DG135" s="56"/>
      <c r="DH135" s="56"/>
      <c r="DI135" s="56"/>
      <c r="DJ135" s="56"/>
      <c r="DK135" s="56"/>
      <c r="DL135" s="56"/>
      <c r="DM135" s="56"/>
      <c r="DN135" s="56"/>
      <c r="DO135" s="56"/>
      <c r="DP135" s="56"/>
      <c r="DQ135" s="57"/>
      <c r="DR135" s="57"/>
      <c r="DS135" s="57"/>
      <c r="DT135" s="57"/>
      <c r="DU135" s="57"/>
      <c r="DV135" s="57"/>
      <c r="DW135" s="57"/>
      <c r="DX135" s="57"/>
      <c r="DY135" s="57"/>
      <c r="DZ135" s="57"/>
      <c r="EA135" s="57"/>
      <c r="EB135" s="58"/>
      <c r="EC135" s="58"/>
      <c r="ED135" s="57"/>
      <c r="EE135" s="57"/>
      <c r="EF135" s="57"/>
      <c r="EG135" s="57"/>
      <c r="EH135" s="57"/>
      <c r="EI135" s="57"/>
      <c r="EJ135" s="57"/>
      <c r="EK135" s="57"/>
      <c r="EL135" s="57"/>
      <c r="EM135" s="57"/>
      <c r="EN135" s="57"/>
      <c r="EO135" s="57"/>
      <c r="EP135" s="57"/>
      <c r="EQ135" s="57"/>
      <c r="ER135" s="385"/>
      <c r="ES135" s="385"/>
      <c r="ET135" s="57"/>
      <c r="EU135" s="57"/>
      <c r="EV135" s="82"/>
      <c r="EW135" s="82"/>
      <c r="EX135" s="82"/>
      <c r="EY135" s="82"/>
      <c r="EZ135" s="82"/>
      <c r="FA135" s="82"/>
      <c r="FB135" s="82"/>
      <c r="FC135" s="242"/>
      <c r="FD135" s="243"/>
    </row>
    <row r="136" spans="1:160" s="5" customFormat="1" ht="12" hidden="1">
      <c r="A136" s="156">
        <f t="shared" si="0"/>
        <v>1</v>
      </c>
      <c r="B136" s="4"/>
      <c r="D136" s="4"/>
      <c r="E136" s="53" t="str">
        <f t="shared" si="1"/>
        <v>--scegli il tipo d'imposta --►</v>
      </c>
      <c r="F136" s="53"/>
      <c r="G136" s="53"/>
      <c r="H136" s="53"/>
      <c r="I136" s="53"/>
      <c r="J136" s="53"/>
      <c r="K136" s="53"/>
      <c r="M136" s="53" t="str">
        <f t="shared" si="3"/>
        <v>--sc</v>
      </c>
      <c r="N136" s="53"/>
      <c r="X136" s="113">
        <f t="shared" si="4"/>
      </c>
      <c r="Y136" s="114" t="str">
        <f t="shared" si="5"/>
        <v>-▼</v>
      </c>
      <c r="Z136" s="110" t="str">
        <f t="shared" si="2"/>
        <v>-▼</v>
      </c>
      <c r="AA136" s="110"/>
      <c r="AB136" s="110"/>
      <c r="AC136" s="110"/>
      <c r="AD136" s="110"/>
      <c r="AE136" s="110"/>
      <c r="AF136" s="110"/>
      <c r="AG136" s="110"/>
      <c r="AH136" s="110"/>
      <c r="AI136" s="110"/>
      <c r="AJ136" s="110"/>
      <c r="AK136" s="110"/>
      <c r="AL136" s="111"/>
      <c r="AR136" s="345" t="s">
        <v>96</v>
      </c>
      <c r="AS136" s="346" t="s">
        <v>97</v>
      </c>
      <c r="AT136" s="346">
        <f>DATEVALUE(CONCATENATE("06/01/",YEAR(AR137)))</f>
        <v>6</v>
      </c>
      <c r="AU136" s="346">
        <f>DATEVALUE(CONCATENATE(AU135,"/",AU134,"/",YEAR(AR137)))+1</f>
        <v>107</v>
      </c>
      <c r="AV136" s="346">
        <f>DATEVALUE(CONCATENATE("25/04/",YEAR(AR137)))</f>
        <v>116</v>
      </c>
      <c r="AW136" s="346">
        <f>DATEVALUE(CONCATENATE("01/05/",YEAR(AR137)))</f>
        <v>122</v>
      </c>
      <c r="AX136" s="346">
        <f>DATEVALUE(CONCATENATE("02/06/",YEAR(AR137)))</f>
        <v>154</v>
      </c>
      <c r="AY136" s="346">
        <f>DATEVALUE(CONCATENATE("15/08/",YEAR(AR137)))</f>
        <v>228</v>
      </c>
      <c r="AZ136" s="346">
        <f>DATEVALUE(CONCATENATE("01/11/",YEAR(AR137)))</f>
        <v>306</v>
      </c>
      <c r="BA136" s="346">
        <f>DATEVALUE(CONCATENATE("08/12/",YEAR(AR137)))</f>
        <v>343</v>
      </c>
      <c r="BB136" s="346">
        <f>DATEVALUE(CONCATENATE("25/12/",YEAR(AR137)))</f>
        <v>360</v>
      </c>
      <c r="BC136" s="346">
        <f>DATEVALUE(CONCATENATE("01/01/",YEAR(AR137)+1))</f>
        <v>367</v>
      </c>
      <c r="BD136" s="346">
        <f>DATEVALUE(CONCATENATE("06/01/",YEAR(AR137)+1))</f>
        <v>372</v>
      </c>
      <c r="BE136" s="346" t="s">
        <v>97</v>
      </c>
      <c r="BF136" s="346" t="s">
        <v>98</v>
      </c>
      <c r="BG136" s="347"/>
      <c r="BH136" s="345" t="s">
        <v>96</v>
      </c>
      <c r="BI136" s="346" t="s">
        <v>97</v>
      </c>
      <c r="BJ136" s="346">
        <f>DATEVALUE(CONCATENATE("06/01/",YEAR(BH137)))</f>
        <v>6</v>
      </c>
      <c r="BK136" s="346">
        <f>DATEVALUE(CONCATENATE(BK135,"/",BK134,"/",YEAR(BH137)))+1</f>
        <v>107</v>
      </c>
      <c r="BL136" s="346">
        <f>DATEVALUE(CONCATENATE("25/04/",YEAR(BH137)))</f>
        <v>116</v>
      </c>
      <c r="BM136" s="346">
        <f>DATEVALUE(CONCATENATE("01/05/",YEAR(BH137)))</f>
        <v>122</v>
      </c>
      <c r="BN136" s="346">
        <f>DATEVALUE(CONCATENATE("02/06/",YEAR(BH137)))</f>
        <v>154</v>
      </c>
      <c r="BO136" s="346">
        <f>DATEVALUE(CONCATENATE("15/08/",YEAR(BH137)))</f>
        <v>228</v>
      </c>
      <c r="BP136" s="346">
        <f>DATEVALUE(CONCATENATE("01/11/",YEAR(BH137)))</f>
        <v>306</v>
      </c>
      <c r="BQ136" s="346">
        <f>DATEVALUE(CONCATENATE("08/12/",YEAR(BH137)))</f>
        <v>343</v>
      </c>
      <c r="BR136" s="346">
        <f>DATEVALUE(CONCATENATE("25/12/",YEAR(BH137)))</f>
        <v>360</v>
      </c>
      <c r="BS136" s="346">
        <f>DATEVALUE(CONCATENATE("01/01/",YEAR(BH137)+1))</f>
        <v>367</v>
      </c>
      <c r="BT136" s="346">
        <f>DATEVALUE(CONCATENATE("06/01/",YEAR(BH137)+1))</f>
        <v>372</v>
      </c>
      <c r="BU136" s="346" t="s">
        <v>97</v>
      </c>
      <c r="BV136" s="346" t="s">
        <v>98</v>
      </c>
      <c r="CJ136"/>
      <c r="CK136"/>
      <c r="CL136"/>
      <c r="CM136"/>
      <c r="CN136"/>
      <c r="CO136"/>
      <c r="CP136"/>
      <c r="CQ136"/>
      <c r="CR136"/>
      <c r="CS136"/>
      <c r="CT136"/>
      <c r="CU136"/>
      <c r="CV136"/>
      <c r="CW136"/>
      <c r="CX136"/>
      <c r="CY136"/>
      <c r="CZ136"/>
      <c r="DA136"/>
      <c r="DB136"/>
      <c r="DC136"/>
      <c r="DD136" s="56" t="s">
        <v>14</v>
      </c>
      <c r="DE136" s="56"/>
      <c r="DF136" s="56"/>
      <c r="DG136" s="56"/>
      <c r="DH136" s="56"/>
      <c r="DI136" s="56"/>
      <c r="DJ136" s="56"/>
      <c r="DK136" s="56"/>
      <c r="DL136" s="56"/>
      <c r="DM136" s="56"/>
      <c r="DN136" s="56"/>
      <c r="DO136" s="56"/>
      <c r="DP136" s="56"/>
      <c r="DQ136" s="57"/>
      <c r="DR136" s="57"/>
      <c r="DS136" s="57"/>
      <c r="DT136" s="57"/>
      <c r="DU136" s="57"/>
      <c r="DV136" s="57"/>
      <c r="DW136" s="57"/>
      <c r="DX136" s="57"/>
      <c r="DY136" s="57"/>
      <c r="DZ136" s="57"/>
      <c r="EA136" s="57"/>
      <c r="EB136" s="58"/>
      <c r="EC136" s="58"/>
      <c r="ED136" s="57"/>
      <c r="EE136" s="57"/>
      <c r="EF136" s="57"/>
      <c r="EG136" s="57"/>
      <c r="EH136" s="57"/>
      <c r="EI136" s="57"/>
      <c r="EJ136" s="57"/>
      <c r="EK136" s="57"/>
      <c r="EL136" s="57"/>
      <c r="EM136" s="57"/>
      <c r="EN136" s="57"/>
      <c r="EO136" s="57"/>
      <c r="EP136" s="57"/>
      <c r="EQ136" s="57"/>
      <c r="ER136" s="385"/>
      <c r="ES136" s="385"/>
      <c r="ET136" s="57"/>
      <c r="EU136" s="57"/>
      <c r="EV136" s="82"/>
      <c r="EW136" s="82"/>
      <c r="EX136" s="82"/>
      <c r="EY136" s="82"/>
      <c r="EZ136" s="82"/>
      <c r="FA136" s="82"/>
      <c r="FB136" s="82"/>
      <c r="FC136" s="242"/>
      <c r="FD136" s="243"/>
    </row>
    <row r="137" spans="1:160" s="5" customFormat="1" ht="12" hidden="1">
      <c r="A137" s="156">
        <f t="shared" si="0"/>
        <v>1</v>
      </c>
      <c r="AR137" s="348">
        <f>E141+30</f>
        <v>30</v>
      </c>
      <c r="AS137" s="349">
        <f>IF(WEEKDAY(AR137,2)=6,2,IF(WEEKDAY(AR137,2)=7,1,0))</f>
        <v>0</v>
      </c>
      <c r="AT137" s="349">
        <f>IF(AR137+AS137=AT136,1,0)</f>
        <v>0</v>
      </c>
      <c r="AU137" s="349">
        <f>IF(AR137+AS137=AU136,1,0)</f>
        <v>0</v>
      </c>
      <c r="AV137" s="349">
        <f>IF(AR137+AS137=AV136,1,0)</f>
        <v>0</v>
      </c>
      <c r="AW137" s="349">
        <f>IF(AR137+AS137=AW136,1,0)</f>
        <v>0</v>
      </c>
      <c r="AX137" s="349">
        <f>IF(AR137+AS137=AX136,1,0)</f>
        <v>0</v>
      </c>
      <c r="AY137" s="349">
        <f>IF(AR137+AS137=AY136,1,0)</f>
        <v>0</v>
      </c>
      <c r="AZ137" s="349">
        <f>IF(AR137+AS137=AZ136,1,0)</f>
        <v>0</v>
      </c>
      <c r="BA137" s="349">
        <f>IF(AR137+AS137=BA136,1,0)</f>
        <v>0</v>
      </c>
      <c r="BB137" s="349">
        <f>IF(AR137+AS137=BB136,2,IF(AR137+AS137=BB136+1,1,0))</f>
        <v>0</v>
      </c>
      <c r="BC137" s="349">
        <f>IF(AR137+AS137=BC136,1,0)</f>
        <v>0</v>
      </c>
      <c r="BD137" s="349">
        <f>IF(AR137+AS137=BD136,1,0)</f>
        <v>0</v>
      </c>
      <c r="BE137" s="349">
        <f>IF(WEEKDAY(AR137+SUM(AS137:BD137),2)=6,2,IF(WEEKDAY(AR137+SUM(AS137:BD137),2)=7,1,0))</f>
        <v>0</v>
      </c>
      <c r="BF137" s="350">
        <f>SUM(AR137:BE137)</f>
        <v>30</v>
      </c>
      <c r="BG137" s="359">
        <f>BF137-AR137</f>
        <v>0</v>
      </c>
      <c r="BH137" s="348">
        <f>E141+90</f>
        <v>90</v>
      </c>
      <c r="BI137" s="349">
        <f>IF(WEEKDAY(BH137,2)=6,2,IF(WEEKDAY(BH137,2)=7,1,0))</f>
        <v>0</v>
      </c>
      <c r="BJ137" s="349">
        <f>IF(BH137+BI137=BJ136,1,0)</f>
        <v>0</v>
      </c>
      <c r="BK137" s="349">
        <f>IF(BH137+BI137=BK136,1,0)</f>
        <v>0</v>
      </c>
      <c r="BL137" s="349">
        <f>IF(BH137+BI137=BL136,1,0)</f>
        <v>0</v>
      </c>
      <c r="BM137" s="349">
        <f>IF(BH137+BI137=BM136,1,0)</f>
        <v>0</v>
      </c>
      <c r="BN137" s="349">
        <f>IF(BH137+BI137=BN136,1,0)</f>
        <v>0</v>
      </c>
      <c r="BO137" s="349">
        <f>IF(BH137+BI137=BO136,1,0)</f>
        <v>0</v>
      </c>
      <c r="BP137" s="349">
        <f>IF(BH137+BI137=BP136,1,0)</f>
        <v>0</v>
      </c>
      <c r="BQ137" s="349">
        <f>IF(BH137+BI137=BQ136,1,0)</f>
        <v>0</v>
      </c>
      <c r="BR137" s="349">
        <f>IF(BH137+BI137=BR136,2,IF(BH137+BI137=BR136+1,1,0))</f>
        <v>0</v>
      </c>
      <c r="BS137" s="349">
        <f>IF(BH137+BI137=BS136,1,0)</f>
        <v>0</v>
      </c>
      <c r="BT137" s="349">
        <f>IF(BH137+BI137=BT136,1,0)</f>
        <v>0</v>
      </c>
      <c r="BU137" s="349">
        <f>IF(WEEKDAY(BH137+SUM(BI137:BT137),2)=6,2,IF(WEEKDAY(BH137+SUM(BI137:BT137),2)=7,1,0))</f>
        <v>0</v>
      </c>
      <c r="BV137" s="350">
        <f>SUM(BH137:BU137)</f>
        <v>90</v>
      </c>
      <c r="BW137" s="351">
        <f>BV137-BH137</f>
        <v>0</v>
      </c>
      <c r="CJ137"/>
      <c r="CK137"/>
      <c r="CL137"/>
      <c r="CM137"/>
      <c r="CN137"/>
      <c r="CO137"/>
      <c r="CP137"/>
      <c r="CQ137"/>
      <c r="CR137"/>
      <c r="CS137"/>
      <c r="CT137"/>
      <c r="CU137"/>
      <c r="CV137"/>
      <c r="CW137"/>
      <c r="CX137"/>
      <c r="CY137"/>
      <c r="CZ137"/>
      <c r="DA137"/>
      <c r="DB137"/>
      <c r="DC137"/>
      <c r="DD137" s="56" t="s">
        <v>14</v>
      </c>
      <c r="DE137" s="56"/>
      <c r="DF137" s="56"/>
      <c r="DG137" s="56"/>
      <c r="DH137" s="56"/>
      <c r="DI137" s="56"/>
      <c r="DJ137" s="56"/>
      <c r="DK137" s="56"/>
      <c r="DL137" s="56"/>
      <c r="DM137" s="56"/>
      <c r="DN137" s="56"/>
      <c r="DO137" s="56"/>
      <c r="DP137" s="56"/>
      <c r="DQ137" s="57"/>
      <c r="DR137" s="57"/>
      <c r="DS137" s="57"/>
      <c r="DT137" s="57"/>
      <c r="DU137" s="57"/>
      <c r="DV137" s="57"/>
      <c r="DW137" s="57"/>
      <c r="DX137" s="57"/>
      <c r="DY137" s="57"/>
      <c r="DZ137" s="57"/>
      <c r="EA137" s="57"/>
      <c r="EB137" s="58"/>
      <c r="EC137" s="58"/>
      <c r="ED137" s="57"/>
      <c r="EE137" s="57"/>
      <c r="EF137" s="57"/>
      <c r="EG137" s="57"/>
      <c r="EH137" s="57"/>
      <c r="EI137" s="57"/>
      <c r="EJ137" s="57"/>
      <c r="EK137" s="57"/>
      <c r="EL137" s="57"/>
      <c r="EM137" s="57"/>
      <c r="EN137" s="57"/>
      <c r="EO137" s="57"/>
      <c r="EP137" s="57"/>
      <c r="EQ137" s="57"/>
      <c r="ER137" s="385"/>
      <c r="ES137" s="385"/>
      <c r="ET137" s="57"/>
      <c r="EU137" s="57"/>
      <c r="EV137" s="82"/>
      <c r="EW137" s="82"/>
      <c r="EX137" s="82"/>
      <c r="EY137" s="82"/>
      <c r="EZ137" s="82"/>
      <c r="FA137" s="82"/>
      <c r="FB137" s="82"/>
      <c r="FC137" s="242"/>
      <c r="FD137" s="243"/>
    </row>
    <row r="138" spans="1:160" s="5" customFormat="1" ht="12" hidden="1">
      <c r="A138" s="156">
        <f t="shared" si="0"/>
        <v>1</v>
      </c>
      <c r="E138" s="4"/>
      <c r="F138" s="4"/>
      <c r="G138" s="4"/>
      <c r="H138" s="4"/>
      <c r="I138" s="4"/>
      <c r="J138" s="4"/>
      <c r="K138" s="4"/>
      <c r="L138" s="4"/>
      <c r="M138" s="4"/>
      <c r="N138" s="4"/>
      <c r="O138" s="4"/>
      <c r="P138" s="4"/>
      <c r="Q138" s="4"/>
      <c r="R138" s="4"/>
      <c r="S138" s="4"/>
      <c r="T138" s="4"/>
      <c r="U138" s="4"/>
      <c r="V138" s="4"/>
      <c r="W138" s="4"/>
      <c r="X138" s="10"/>
      <c r="Y138" s="4"/>
      <c r="Z138" s="4"/>
      <c r="AA138" s="4"/>
      <c r="AB138" s="4"/>
      <c r="AC138" s="4"/>
      <c r="AD138" s="4"/>
      <c r="AI138" s="146"/>
      <c r="AJ138" s="146"/>
      <c r="AK138" s="146"/>
      <c r="AL138" s="146"/>
      <c r="AM138" s="146"/>
      <c r="AN138" s="146"/>
      <c r="AO138" s="146"/>
      <c r="AP138" s="146"/>
      <c r="AQ138" s="146"/>
      <c r="AR138" s="146"/>
      <c r="AS138" s="146"/>
      <c r="AT138" s="146"/>
      <c r="AU138" s="591" t="s">
        <v>99</v>
      </c>
      <c r="AV138" s="591"/>
      <c r="AW138" s="591"/>
      <c r="AX138" s="591"/>
      <c r="AY138" s="591"/>
      <c r="AZ138" s="591"/>
      <c r="BA138" s="591"/>
      <c r="BB138" s="591"/>
      <c r="BC138" s="591"/>
      <c r="BD138" s="591"/>
      <c r="BE138" s="591"/>
      <c r="BF138" s="591"/>
      <c r="BG138" s="591"/>
      <c r="BH138" s="721" t="s">
        <v>100</v>
      </c>
      <c r="BI138" s="721"/>
      <c r="BJ138" s="721"/>
      <c r="BK138" s="721"/>
      <c r="BL138" s="721"/>
      <c r="BM138" s="721"/>
      <c r="BN138" s="721"/>
      <c r="BO138" s="721"/>
      <c r="BP138" s="721"/>
      <c r="BQ138" s="721"/>
      <c r="BR138" s="721"/>
      <c r="BS138" s="721"/>
      <c r="BT138" s="721"/>
      <c r="BU138" s="701" t="s">
        <v>101</v>
      </c>
      <c r="BV138" s="701"/>
      <c r="BW138" s="701"/>
      <c r="BX138" s="701"/>
      <c r="BY138" s="701"/>
      <c r="BZ138" s="701"/>
      <c r="CA138" s="701"/>
      <c r="CB138" s="701"/>
      <c r="CC138" s="701"/>
      <c r="CD138" s="701"/>
      <c r="CE138" s="701"/>
      <c r="CF138" s="585" t="s">
        <v>102</v>
      </c>
      <c r="CG138" s="585"/>
      <c r="CH138" s="585"/>
      <c r="CI138" s="585"/>
      <c r="CJ138" s="585"/>
      <c r="CK138" s="585"/>
      <c r="CL138" s="585"/>
      <c r="CM138" s="585"/>
      <c r="CN138" s="585"/>
      <c r="CO138" s="585"/>
      <c r="CP138" s="585"/>
      <c r="CQ138" s="585" t="s">
        <v>103</v>
      </c>
      <c r="CR138" s="585"/>
      <c r="CS138" s="585"/>
      <c r="CT138" s="585"/>
      <c r="CU138" s="585"/>
      <c r="CV138" s="585"/>
      <c r="CW138" s="585"/>
      <c r="CX138" s="585"/>
      <c r="CY138" s="585"/>
      <c r="CZ138" s="585"/>
      <c r="DA138" s="585"/>
      <c r="DB138" s="146"/>
      <c r="DC138" s="146"/>
      <c r="DD138" s="56" t="s">
        <v>14</v>
      </c>
      <c r="DE138" s="56"/>
      <c r="DF138" s="56"/>
      <c r="DG138" s="56"/>
      <c r="DH138" s="56"/>
      <c r="DI138" s="56"/>
      <c r="DJ138" s="56"/>
      <c r="DK138" s="56"/>
      <c r="DL138" s="56"/>
      <c r="DM138" s="56"/>
      <c r="DN138" s="56"/>
      <c r="DO138" s="56"/>
      <c r="DP138" s="56"/>
      <c r="DQ138" s="57"/>
      <c r="DR138" s="57"/>
      <c r="DS138" s="57"/>
      <c r="DT138" s="57"/>
      <c r="DU138" s="57"/>
      <c r="DV138" s="57"/>
      <c r="DW138" s="57"/>
      <c r="DX138" s="57"/>
      <c r="DY138" s="57"/>
      <c r="DZ138" s="57"/>
      <c r="EA138" s="57"/>
      <c r="EB138" s="58"/>
      <c r="EC138" s="58"/>
      <c r="ED138" s="57"/>
      <c r="EE138" s="57"/>
      <c r="EF138" s="57"/>
      <c r="EG138" s="57"/>
      <c r="EH138" s="57"/>
      <c r="EI138" s="57"/>
      <c r="EJ138" s="57"/>
      <c r="EK138" s="57"/>
      <c r="EL138" s="57"/>
      <c r="EM138" s="57"/>
      <c r="EN138" s="57"/>
      <c r="EO138" s="57"/>
      <c r="EP138" s="57"/>
      <c r="EQ138" s="57"/>
      <c r="ER138" s="385"/>
      <c r="ES138" s="385"/>
      <c r="ET138" s="57"/>
      <c r="EU138" s="57"/>
      <c r="EV138" s="82"/>
      <c r="EW138" s="82"/>
      <c r="EX138" s="82"/>
      <c r="EY138" s="82"/>
      <c r="EZ138" s="82"/>
      <c r="FA138" s="82"/>
      <c r="FB138" s="82"/>
      <c r="FC138" s="242"/>
      <c r="FD138" s="243"/>
    </row>
    <row r="139" spans="1:160" s="5" customFormat="1" ht="12" hidden="1">
      <c r="A139" s="156">
        <f t="shared" si="0"/>
        <v>1</v>
      </c>
      <c r="E139" s="4" t="s">
        <v>104</v>
      </c>
      <c r="F139" s="4"/>
      <c r="G139" s="4"/>
      <c r="H139" s="4"/>
      <c r="I139" s="10"/>
      <c r="J139" s="4"/>
      <c r="K139" s="4"/>
      <c r="L139" s="4"/>
      <c r="M139" s="4"/>
      <c r="N139" s="4"/>
      <c r="O139" s="4"/>
      <c r="AA139" s="55" t="s">
        <v>105</v>
      </c>
      <c r="AB139" s="55"/>
      <c r="AC139" s="55"/>
      <c r="AD139" s="55"/>
      <c r="AE139" s="55"/>
      <c r="AF139" s="55"/>
      <c r="AG139" s="55"/>
      <c r="AH139" s="55"/>
      <c r="AI139" s="463" t="s">
        <v>106</v>
      </c>
      <c r="AJ139" s="463"/>
      <c r="AK139" s="463"/>
      <c r="AL139" s="463"/>
      <c r="AM139" s="463"/>
      <c r="AN139" s="463"/>
      <c r="AO139" s="463"/>
      <c r="AP139" s="463"/>
      <c r="AQ139" s="463"/>
      <c r="AR139" s="463"/>
      <c r="AS139" s="463"/>
      <c r="AT139" s="463"/>
      <c r="AU139" s="459" t="s">
        <v>107</v>
      </c>
      <c r="AV139" s="459"/>
      <c r="AW139" s="459"/>
      <c r="AX139" s="459"/>
      <c r="AY139" s="459"/>
      <c r="AZ139" s="459"/>
      <c r="BA139" s="459"/>
      <c r="BB139" s="459"/>
      <c r="BC139" s="459"/>
      <c r="BD139" s="459"/>
      <c r="BE139" s="459"/>
      <c r="BF139" s="459"/>
      <c r="BG139" s="459"/>
      <c r="BH139" s="529" t="s">
        <v>108</v>
      </c>
      <c r="BI139" s="529"/>
      <c r="BJ139" s="529"/>
      <c r="BK139" s="529"/>
      <c r="BL139" s="529"/>
      <c r="BM139" s="529"/>
      <c r="BN139" s="529"/>
      <c r="BO139" s="529"/>
      <c r="BP139" s="529"/>
      <c r="BQ139" s="529"/>
      <c r="BR139" s="529"/>
      <c r="BS139" s="529"/>
      <c r="BT139" s="529"/>
      <c r="BU139" s="588" t="s">
        <v>109</v>
      </c>
      <c r="BV139" s="588"/>
      <c r="BW139" s="588"/>
      <c r="BX139" s="588"/>
      <c r="BY139" s="588"/>
      <c r="BZ139" s="588"/>
      <c r="CA139" s="588"/>
      <c r="CB139" s="588"/>
      <c r="CC139" s="588"/>
      <c r="CD139" s="588"/>
      <c r="CE139" s="588"/>
      <c r="CF139" s="586" t="s">
        <v>110</v>
      </c>
      <c r="CG139" s="586"/>
      <c r="CH139" s="586"/>
      <c r="CI139" s="586"/>
      <c r="CJ139" s="586"/>
      <c r="CK139" s="586"/>
      <c r="CL139" s="586"/>
      <c r="CM139" s="586"/>
      <c r="CN139" s="586"/>
      <c r="CO139" s="586"/>
      <c r="CP139" s="586"/>
      <c r="CQ139" s="586" t="s">
        <v>111</v>
      </c>
      <c r="CR139" s="586"/>
      <c r="CS139" s="586"/>
      <c r="CT139" s="586"/>
      <c r="CU139" s="586"/>
      <c r="CV139" s="586"/>
      <c r="CW139" s="586"/>
      <c r="CX139" s="586"/>
      <c r="CY139" s="586"/>
      <c r="CZ139" s="586"/>
      <c r="DA139" s="586"/>
      <c r="DB139" s="146"/>
      <c r="DC139" s="146"/>
      <c r="DD139" s="56" t="s">
        <v>14</v>
      </c>
      <c r="DE139" s="56"/>
      <c r="DF139" s="56"/>
      <c r="DG139" s="56"/>
      <c r="DH139" s="56"/>
      <c r="DI139" s="56"/>
      <c r="DJ139" s="56"/>
      <c r="DK139" s="56"/>
      <c r="DL139" s="56"/>
      <c r="DM139" s="56"/>
      <c r="DN139" s="56"/>
      <c r="DO139" s="56"/>
      <c r="DP139" s="56"/>
      <c r="DQ139" s="471"/>
      <c r="DR139" s="471"/>
      <c r="DS139" s="158"/>
      <c r="DT139" s="471"/>
      <c r="DU139" s="471"/>
      <c r="DV139" s="158"/>
      <c r="DW139" s="158"/>
      <c r="DX139" s="471"/>
      <c r="DY139" s="471"/>
      <c r="DZ139" s="158"/>
      <c r="EA139" s="158"/>
      <c r="EB139" s="163"/>
      <c r="EC139" s="163"/>
      <c r="ED139" s="471"/>
      <c r="EE139" s="471"/>
      <c r="EF139" s="158"/>
      <c r="EG139" s="471"/>
      <c r="EH139" s="471"/>
      <c r="EI139" s="158"/>
      <c r="EJ139" s="158"/>
      <c r="EK139" s="471"/>
      <c r="EL139" s="471"/>
      <c r="EM139" s="158"/>
      <c r="EN139" s="471"/>
      <c r="EO139" s="471"/>
      <c r="EP139" s="471"/>
      <c r="EQ139" s="471"/>
      <c r="ER139" s="385"/>
      <c r="ES139" s="385"/>
      <c r="ET139" s="471"/>
      <c r="EU139" s="471"/>
      <c r="EV139" s="164"/>
      <c r="EW139" s="164"/>
      <c r="EX139" s="164"/>
      <c r="EY139" s="164"/>
      <c r="EZ139" s="164"/>
      <c r="FA139" s="164"/>
      <c r="FB139" s="164"/>
      <c r="FC139" s="242"/>
      <c r="FD139" s="243"/>
    </row>
    <row r="140" spans="1:160" s="5" customFormat="1" ht="12.75" hidden="1">
      <c r="A140" s="156">
        <f t="shared" si="0"/>
        <v>1</v>
      </c>
      <c r="E140" s="67" t="s">
        <v>112</v>
      </c>
      <c r="F140" s="4"/>
      <c r="G140" s="4"/>
      <c r="H140" s="4"/>
      <c r="I140" s="67" t="s">
        <v>113</v>
      </c>
      <c r="M140" s="4" t="s">
        <v>114</v>
      </c>
      <c r="N140" s="4"/>
      <c r="O140" s="4"/>
      <c r="V140" s="446" t="s">
        <v>95</v>
      </c>
      <c r="W140" s="446"/>
      <c r="X140" s="55" t="s">
        <v>35</v>
      </c>
      <c r="Y140" s="55" t="s">
        <v>39</v>
      </c>
      <c r="AA140" s="141" t="s">
        <v>115</v>
      </c>
      <c r="AB140" s="137" t="s">
        <v>116</v>
      </c>
      <c r="AC140" s="137"/>
      <c r="AD140" s="137"/>
      <c r="AE140" s="137"/>
      <c r="AF140" s="553" t="s">
        <v>117</v>
      </c>
      <c r="AG140" s="553"/>
      <c r="AH140" s="553"/>
      <c r="AI140" s="140" t="s">
        <v>115</v>
      </c>
      <c r="AJ140" s="436" t="s">
        <v>118</v>
      </c>
      <c r="AK140" s="436"/>
      <c r="AL140" s="436" t="s">
        <v>119</v>
      </c>
      <c r="AM140" s="436"/>
      <c r="AN140" s="436" t="s">
        <v>120</v>
      </c>
      <c r="AO140" s="436"/>
      <c r="AP140" s="436" t="s">
        <v>95</v>
      </c>
      <c r="AQ140" s="436"/>
      <c r="AR140" s="436" t="s">
        <v>121</v>
      </c>
      <c r="AS140" s="436"/>
      <c r="AT140" s="436"/>
      <c r="AU140" s="139" t="s">
        <v>115</v>
      </c>
      <c r="AV140" s="445" t="s">
        <v>118</v>
      </c>
      <c r="AW140" s="445"/>
      <c r="AX140" s="445" t="s">
        <v>119</v>
      </c>
      <c r="AY140" s="445"/>
      <c r="AZ140" s="445" t="s">
        <v>122</v>
      </c>
      <c r="BA140" s="445"/>
      <c r="BB140" s="445" t="s">
        <v>123</v>
      </c>
      <c r="BC140" s="445"/>
      <c r="BD140" s="445"/>
      <c r="BE140" s="445" t="s">
        <v>121</v>
      </c>
      <c r="BF140" s="445"/>
      <c r="BG140" s="445"/>
      <c r="BH140" s="138" t="s">
        <v>115</v>
      </c>
      <c r="BI140" s="526" t="s">
        <v>118</v>
      </c>
      <c r="BJ140" s="526"/>
      <c r="BK140" s="526" t="s">
        <v>119</v>
      </c>
      <c r="BL140" s="526"/>
      <c r="BM140" s="526" t="s">
        <v>122</v>
      </c>
      <c r="BN140" s="526"/>
      <c r="BO140" s="526" t="s">
        <v>123</v>
      </c>
      <c r="BP140" s="526"/>
      <c r="BQ140" s="526"/>
      <c r="BR140" s="526" t="s">
        <v>121</v>
      </c>
      <c r="BS140" s="526"/>
      <c r="BT140" s="526"/>
      <c r="BU140" s="165" t="s">
        <v>115</v>
      </c>
      <c r="BV140" s="587" t="s">
        <v>119</v>
      </c>
      <c r="BW140" s="587"/>
      <c r="BX140" s="587" t="s">
        <v>122</v>
      </c>
      <c r="BY140" s="587"/>
      <c r="BZ140" s="587" t="s">
        <v>123</v>
      </c>
      <c r="CA140" s="587"/>
      <c r="CB140" s="587"/>
      <c r="CC140" s="587" t="s">
        <v>121</v>
      </c>
      <c r="CD140" s="587"/>
      <c r="CE140" s="587"/>
      <c r="CF140" s="169" t="s">
        <v>115</v>
      </c>
      <c r="CG140" s="472" t="s">
        <v>119</v>
      </c>
      <c r="CH140" s="472"/>
      <c r="CI140" s="472" t="s">
        <v>122</v>
      </c>
      <c r="CJ140" s="472"/>
      <c r="CK140" s="472" t="s">
        <v>123</v>
      </c>
      <c r="CL140" s="472"/>
      <c r="CM140" s="472"/>
      <c r="CN140" s="472" t="s">
        <v>121</v>
      </c>
      <c r="CO140" s="472"/>
      <c r="CP140" s="472"/>
      <c r="CQ140" s="169" t="s">
        <v>115</v>
      </c>
      <c r="CR140" s="472" t="s">
        <v>119</v>
      </c>
      <c r="CS140" s="472"/>
      <c r="CT140" s="472" t="s">
        <v>122</v>
      </c>
      <c r="CU140" s="472"/>
      <c r="CV140" s="472" t="s">
        <v>123</v>
      </c>
      <c r="CW140" s="472"/>
      <c r="CX140" s="472"/>
      <c r="CY140" s="472" t="s">
        <v>121</v>
      </c>
      <c r="CZ140" s="472"/>
      <c r="DA140" s="472"/>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4"/>
      <c r="EC140" s="64"/>
      <c r="ED140" s="378"/>
      <c r="EE140" s="378"/>
      <c r="EF140" s="57"/>
      <c r="EG140" s="378"/>
      <c r="EH140" s="378"/>
      <c r="EI140" s="57"/>
      <c r="EJ140" s="57"/>
      <c r="EK140" s="378"/>
      <c r="EL140" s="378"/>
      <c r="EM140" s="57"/>
      <c r="EN140" s="378"/>
      <c r="EO140" s="378"/>
      <c r="EP140" s="378"/>
      <c r="EQ140" s="378"/>
      <c r="ER140" s="669">
        <f>IF(X14&lt;&gt;"",X14,"")</f>
        <v>43858</v>
      </c>
      <c r="ES140" s="670"/>
      <c r="ET140" s="378">
        <f>SUM(ET110:EU139)</f>
        <v>0</v>
      </c>
      <c r="EU140" s="378"/>
      <c r="EV140" s="378">
        <f>IF(ER140="",0,IF(ET140=0,0,IF(ET140&lt;EV108,FE110,IF(ET140=EV108,IF(ER140&gt;FE114,FE110,FE111),0))))</f>
        <v>0</v>
      </c>
      <c r="EW140" s="378"/>
      <c r="EX140" s="378">
        <f>IF(ER140="",0,IF(ET140=EX108,IF(ER140&gt;FE114,FE111,FE112),0))</f>
        <v>0</v>
      </c>
      <c r="EY140" s="378"/>
      <c r="EZ140" s="378">
        <f>IF(ER140="",0,IF(ET140=EZ108,FE112,0))</f>
        <v>0</v>
      </c>
      <c r="FA140" s="378"/>
      <c r="FB140" s="57">
        <f>SUM(EV140:FA140)</f>
        <v>0</v>
      </c>
      <c r="FC140" s="242"/>
      <c r="FD140" s="243"/>
    </row>
    <row r="141" spans="1:188" s="5" customFormat="1" ht="12" hidden="1">
      <c r="A141" s="156">
        <f t="shared" si="0"/>
        <v>1</v>
      </c>
      <c r="E141" s="431">
        <f>X13</f>
        <v>0</v>
      </c>
      <c r="F141" s="431"/>
      <c r="G141" s="431"/>
      <c r="H141" s="431"/>
      <c r="I141" s="431">
        <f>X14*C421*(1-AC15)</f>
        <v>43858</v>
      </c>
      <c r="J141" s="431"/>
      <c r="K141" s="431"/>
      <c r="L141" s="431"/>
      <c r="M141" s="501">
        <f>Q175</f>
        <v>44196</v>
      </c>
      <c r="N141" s="501"/>
      <c r="O141" s="501"/>
      <c r="P141" s="501"/>
      <c r="Q141" s="501"/>
      <c r="R141" s="431">
        <f>M141</f>
        <v>44196</v>
      </c>
      <c r="S141" s="431"/>
      <c r="T141" s="431"/>
      <c r="U141" s="431"/>
      <c r="V141" s="431">
        <f>IF(E141&gt;I141,0,(I141-E141)*D421*D422)</f>
        <v>43858</v>
      </c>
      <c r="W141" s="431"/>
      <c r="X141" s="68">
        <f>IF(V141&gt;0,AZ108,0)</f>
        <v>0</v>
      </c>
      <c r="Y141" s="55">
        <f>IF(V141&gt;0,BA108)</f>
        <v>0</v>
      </c>
      <c r="AA141" s="142">
        <f>IF(X141=AB141,1,0)</f>
        <v>0</v>
      </c>
      <c r="AB141" s="55">
        <v>1</v>
      </c>
      <c r="AC141" s="536">
        <f>IF(AA141&gt;0,"Sanzione ex D.Lgs. 471/97, art. 13, c. 1","")</f>
      </c>
      <c r="AD141" s="536"/>
      <c r="AE141" s="536"/>
      <c r="AF141" s="452">
        <v>0.3</v>
      </c>
      <c r="AG141" s="452"/>
      <c r="AH141" s="452"/>
      <c r="AI141" s="145">
        <f>AA141*IF(V141&lt;=AJ141,1,0)</f>
        <v>0</v>
      </c>
      <c r="AJ141" s="463">
        <v>14</v>
      </c>
      <c r="AK141" s="463"/>
      <c r="AL141" s="464">
        <f>AF141*IF(EZ108&gt;2015,1/2,1)</f>
        <v>0.15</v>
      </c>
      <c r="AM141" s="464"/>
      <c r="AN141" s="465">
        <f>AF141*1/10*1/15*IF(EZ108&gt;2015,1/2,1)</f>
        <v>0.001</v>
      </c>
      <c r="AO141" s="465"/>
      <c r="AP141" s="463">
        <f>AI141*V141</f>
        <v>0</v>
      </c>
      <c r="AQ141" s="463"/>
      <c r="AR141" s="549">
        <f>AN141*AP141</f>
        <v>0</v>
      </c>
      <c r="AS141" s="549"/>
      <c r="AT141" s="549"/>
      <c r="AU141" s="144">
        <f aca="true" t="shared" si="20" ref="AU141:AU146">AA141*IF(V141&lt;=AV141,1,0)*IF(V141&gt;AJ141,1,0)</f>
        <v>0</v>
      </c>
      <c r="AV141" s="458">
        <f>30+BG137</f>
        <v>30</v>
      </c>
      <c r="AW141" s="459"/>
      <c r="AX141" s="456">
        <f>AF141*IF(EZ108&gt;2015,1/2,1)</f>
        <v>0.15</v>
      </c>
      <c r="AY141" s="456"/>
      <c r="AZ141" s="559">
        <v>0.1</v>
      </c>
      <c r="BA141" s="559"/>
      <c r="BB141" s="470">
        <v>0</v>
      </c>
      <c r="BC141" s="470"/>
      <c r="BD141" s="470"/>
      <c r="BE141" s="527">
        <f aca="true" t="shared" si="21" ref="BE141:BE146">AU141*AX141*AZ141</f>
        <v>0</v>
      </c>
      <c r="BF141" s="527"/>
      <c r="BG141" s="527"/>
      <c r="BH141" s="143">
        <f>AA141*IF(V141&lt;=BI141,1,0)*IF(V141&gt;AV141,1,0)*IF(Y141=91,IF(AB15="si",1,0),1)</f>
        <v>0</v>
      </c>
      <c r="BI141" s="528">
        <f>90+BW137</f>
        <v>90</v>
      </c>
      <c r="BJ141" s="529"/>
      <c r="BK141" s="558">
        <f>AF141*IF(EZ108&gt;2015,1/2,1)</f>
        <v>0.15</v>
      </c>
      <c r="BL141" s="558"/>
      <c r="BM141" s="570">
        <v>0.1111111111111111</v>
      </c>
      <c r="BN141" s="570"/>
      <c r="BO141" s="530">
        <v>0</v>
      </c>
      <c r="BP141" s="530"/>
      <c r="BQ141" s="530"/>
      <c r="BR141" s="531">
        <f>BH141*BK141*BM141</f>
        <v>0</v>
      </c>
      <c r="BS141" s="531"/>
      <c r="BT141" s="531"/>
      <c r="BU141" s="166">
        <f>AA141*(1-AI141-AU141-BH141)*IF(Y141=2,1,IF(Y141=92,IF(AB15="si",1,0),0))</f>
        <v>0</v>
      </c>
      <c r="BV141" s="590">
        <f aca="true" t="shared" si="22" ref="BV141:BV148">AF141</f>
        <v>0.3</v>
      </c>
      <c r="BW141" s="590"/>
      <c r="BX141" s="589">
        <v>0.125</v>
      </c>
      <c r="BY141" s="589"/>
      <c r="BZ141" s="399">
        <v>0</v>
      </c>
      <c r="CA141" s="399"/>
      <c r="CB141" s="399"/>
      <c r="CC141" s="689">
        <f aca="true" t="shared" si="23" ref="CC141:CC148">BU141*BV141*BX141</f>
        <v>0</v>
      </c>
      <c r="CD141" s="689"/>
      <c r="CE141" s="689"/>
      <c r="CF141" s="167">
        <f>AA141*(1-AI141-AU141-BH141)*IF(Y141=3,1,IF(Y141=93,IF(AB15="si",1,0)))</f>
        <v>0</v>
      </c>
      <c r="CG141" s="475">
        <f>AF141</f>
        <v>0.3</v>
      </c>
      <c r="CH141" s="475"/>
      <c r="CI141" s="473">
        <v>0.14285714285714285</v>
      </c>
      <c r="CJ141" s="473"/>
      <c r="CK141" s="467">
        <v>0</v>
      </c>
      <c r="CL141" s="467"/>
      <c r="CM141" s="467"/>
      <c r="CN141" s="474">
        <f>CF141*CG141*CI141</f>
        <v>0</v>
      </c>
      <c r="CO141" s="474"/>
      <c r="CP141" s="474"/>
      <c r="CQ141" s="167">
        <f>AA141*IF(Y141=4,1,IF(Y141=94,IF(AB15="si",1,0)))</f>
        <v>0</v>
      </c>
      <c r="CR141" s="475">
        <f>AF141</f>
        <v>0.3</v>
      </c>
      <c r="CS141" s="475"/>
      <c r="CT141" s="473">
        <v>0.16666666666666666</v>
      </c>
      <c r="CU141" s="473"/>
      <c r="CV141" s="467">
        <v>0</v>
      </c>
      <c r="CW141" s="467"/>
      <c r="CX141" s="467"/>
      <c r="CY141" s="474">
        <f>CQ141*CR141*CT141</f>
        <v>0</v>
      </c>
      <c r="CZ141" s="474"/>
      <c r="DA141" s="474"/>
      <c r="FC141" s="242"/>
      <c r="FD141" s="243"/>
      <c r="GD141" s="224" t="s">
        <v>87</v>
      </c>
      <c r="GE141" s="224">
        <f>MOD(YEAR(GB149),19)</f>
        <v>7</v>
      </c>
      <c r="GF141" s="227">
        <f>IF(GE141&gt;10,1,0)</f>
        <v>0</v>
      </c>
    </row>
    <row r="142" spans="1:188" s="5" customFormat="1" ht="12" hidden="1">
      <c r="A142" s="156">
        <f t="shared" si="0"/>
        <v>1</v>
      </c>
      <c r="V142" s="431">
        <f>V141</f>
        <v>43858</v>
      </c>
      <c r="W142" s="431"/>
      <c r="X142" s="68">
        <f aca="true" t="shared" si="24" ref="X142:Y148">X141</f>
        <v>0</v>
      </c>
      <c r="Y142" s="68">
        <f t="shared" si="24"/>
        <v>0</v>
      </c>
      <c r="Z142" s="146"/>
      <c r="AA142" s="142">
        <f>IF(X142=AB142,1,0)</f>
        <v>0</v>
      </c>
      <c r="AB142" s="55">
        <v>2</v>
      </c>
      <c r="AC142" s="536">
        <f>IF(AA142&gt;0,"Sanzione ex Decreto 54/2005 MAP, art. 6, c. 1","")</f>
      </c>
      <c r="AD142" s="536"/>
      <c r="AE142" s="536"/>
      <c r="AF142" s="452">
        <v>0.3</v>
      </c>
      <c r="AG142" s="452"/>
      <c r="AH142" s="452"/>
      <c r="AI142" s="186"/>
      <c r="AJ142" s="460">
        <v>0</v>
      </c>
      <c r="AK142" s="460"/>
      <c r="AL142" s="269"/>
      <c r="AM142" s="269"/>
      <c r="AN142" s="461"/>
      <c r="AO142" s="461"/>
      <c r="AP142" s="460"/>
      <c r="AQ142" s="460"/>
      <c r="AR142" s="462"/>
      <c r="AS142" s="462"/>
      <c r="AT142" s="462"/>
      <c r="AU142" s="144">
        <f t="shared" si="20"/>
        <v>0</v>
      </c>
      <c r="AV142" s="458">
        <f>AV141</f>
        <v>30</v>
      </c>
      <c r="AW142" s="459"/>
      <c r="AX142" s="456">
        <f>AF142</f>
        <v>0.3</v>
      </c>
      <c r="AY142" s="456"/>
      <c r="AZ142" s="592">
        <v>0.125</v>
      </c>
      <c r="BA142" s="592"/>
      <c r="BB142" s="470">
        <v>0</v>
      </c>
      <c r="BC142" s="470"/>
      <c r="BD142" s="470"/>
      <c r="BE142" s="527">
        <f t="shared" si="21"/>
        <v>0</v>
      </c>
      <c r="BF142" s="527"/>
      <c r="BG142" s="527"/>
      <c r="BH142" s="186"/>
      <c r="BI142" s="468"/>
      <c r="BJ142" s="468"/>
      <c r="BK142" s="194"/>
      <c r="BL142" s="194"/>
      <c r="BM142" s="468"/>
      <c r="BN142" s="468"/>
      <c r="BO142" s="469"/>
      <c r="BP142" s="469"/>
      <c r="BQ142" s="469"/>
      <c r="BR142" s="409"/>
      <c r="BS142" s="409"/>
      <c r="BT142" s="409"/>
      <c r="BU142" s="166">
        <f>AA142*IF(V142&gt;AV142,1,0)*IF(Y142=99,IF(AB15="si",1,0),1)</f>
        <v>0</v>
      </c>
      <c r="BV142" s="590">
        <f t="shared" si="22"/>
        <v>0.3</v>
      </c>
      <c r="BW142" s="590"/>
      <c r="BX142" s="589">
        <v>0.2</v>
      </c>
      <c r="BY142" s="589"/>
      <c r="BZ142" s="399">
        <v>0</v>
      </c>
      <c r="CA142" s="399"/>
      <c r="CB142" s="399"/>
      <c r="CC142" s="689">
        <f t="shared" si="23"/>
        <v>0</v>
      </c>
      <c r="CD142" s="689"/>
      <c r="CE142" s="689"/>
      <c r="CF142" s="186"/>
      <c r="CG142" s="468"/>
      <c r="CH142" s="468"/>
      <c r="CI142" s="468"/>
      <c r="CJ142" s="468"/>
      <c r="CK142" s="469"/>
      <c r="CL142" s="469"/>
      <c r="CM142" s="469"/>
      <c r="CN142" s="409"/>
      <c r="CO142" s="409"/>
      <c r="CP142" s="409"/>
      <c r="CQ142" s="186"/>
      <c r="CR142" s="468"/>
      <c r="CS142" s="468"/>
      <c r="CT142" s="468"/>
      <c r="CU142" s="468"/>
      <c r="CV142" s="469"/>
      <c r="CW142" s="469"/>
      <c r="CX142" s="469"/>
      <c r="CY142" s="409"/>
      <c r="CZ142" s="409"/>
      <c r="DA142" s="409"/>
      <c r="DD142" s="118" t="str">
        <f>P108</f>
        <v>IMPOSTE DIRETTE</v>
      </c>
      <c r="DE142" s="119"/>
      <c r="DF142" s="119"/>
      <c r="DG142" s="119"/>
      <c r="DH142" s="119"/>
      <c r="DI142" s="119"/>
      <c r="DJ142" s="119"/>
      <c r="DK142" s="119"/>
      <c r="DL142" s="119"/>
      <c r="DM142" s="119"/>
      <c r="DN142" s="119"/>
      <c r="DO142" s="119"/>
      <c r="DP142" s="120"/>
      <c r="DQ142" s="397" t="s">
        <v>32</v>
      </c>
      <c r="DR142" s="397"/>
      <c r="DS142" s="52" t="s">
        <v>33</v>
      </c>
      <c r="DT142" s="397" t="s">
        <v>34</v>
      </c>
      <c r="DU142" s="397"/>
      <c r="DV142" s="52" t="s">
        <v>48</v>
      </c>
      <c r="DW142" s="52" t="s">
        <v>33</v>
      </c>
      <c r="DX142" s="397" t="s">
        <v>36</v>
      </c>
      <c r="DY142" s="397"/>
      <c r="DZ142" s="52" t="s">
        <v>33</v>
      </c>
      <c r="EA142" s="4" t="s">
        <v>49</v>
      </c>
      <c r="EB142" s="4" t="s">
        <v>49</v>
      </c>
      <c r="EC142" s="4" t="s">
        <v>49</v>
      </c>
      <c r="ED142" s="397" t="s">
        <v>32</v>
      </c>
      <c r="EE142" s="397"/>
      <c r="EF142" s="52" t="s">
        <v>33</v>
      </c>
      <c r="EG142" s="397" t="s">
        <v>34</v>
      </c>
      <c r="EH142" s="397"/>
      <c r="EI142" s="52" t="s">
        <v>48</v>
      </c>
      <c r="EJ142" s="52" t="s">
        <v>33</v>
      </c>
      <c r="EK142" s="397" t="s">
        <v>36</v>
      </c>
      <c r="EL142" s="397"/>
      <c r="EM142" s="52" t="s">
        <v>33</v>
      </c>
      <c r="EN142" s="397" t="s">
        <v>37</v>
      </c>
      <c r="EO142" s="397"/>
      <c r="EP142" s="397" t="s">
        <v>38</v>
      </c>
      <c r="EQ142" s="397"/>
      <c r="ER142" s="397" t="s">
        <v>38</v>
      </c>
      <c r="ES142" s="397"/>
      <c r="ET142" s="397" t="s">
        <v>38</v>
      </c>
      <c r="EU142" s="397"/>
      <c r="EV142" s="395">
        <f>EX142-1</f>
        <v>2018</v>
      </c>
      <c r="EW142" s="395"/>
      <c r="EX142" s="395">
        <f>EZ142-1</f>
        <v>2019</v>
      </c>
      <c r="EY142" s="395"/>
      <c r="EZ142" s="395">
        <f>EZ108</f>
        <v>2020</v>
      </c>
      <c r="FA142" s="395"/>
      <c r="FB142" s="52" t="s">
        <v>39</v>
      </c>
      <c r="FC142" s="242"/>
      <c r="FD142" s="243"/>
      <c r="FE142" s="5">
        <f>IF(FG142&gt;2018,30,IF(FG142&gt;2016,31,30))</f>
        <v>30</v>
      </c>
      <c r="FF142" s="5">
        <f>IF(FG142&gt;2018,11,IF(FG142&gt;2016,10,9))</f>
        <v>11</v>
      </c>
      <c r="FG142" s="396">
        <f>FG108</f>
        <v>2020</v>
      </c>
      <c r="FH142" s="396"/>
      <c r="FL142" s="159" t="s">
        <v>124</v>
      </c>
      <c r="FP142" s="5">
        <f>IF(FR142&gt;2016,31,30)</f>
        <v>31</v>
      </c>
      <c r="FQ142" s="5">
        <f>IF(FR142&gt;2016,10,9)</f>
        <v>10</v>
      </c>
      <c r="FR142" s="396">
        <f>FG142-1</f>
        <v>2019</v>
      </c>
      <c r="FS142" s="396"/>
      <c r="GD142" s="224" t="s">
        <v>89</v>
      </c>
      <c r="GE142" s="224">
        <f>MOD(YEAR(GB149),4)</f>
        <v>1</v>
      </c>
      <c r="GF142" s="228"/>
    </row>
    <row r="143" spans="1:188" s="5" customFormat="1" ht="12" hidden="1">
      <c r="A143" s="156">
        <f t="shared" si="0"/>
        <v>1</v>
      </c>
      <c r="C143" s="5" t="s">
        <v>115</v>
      </c>
      <c r="V143" s="431">
        <f>V142</f>
        <v>43858</v>
      </c>
      <c r="W143" s="431"/>
      <c r="X143" s="68">
        <f t="shared" si="24"/>
        <v>0</v>
      </c>
      <c r="Y143" s="68">
        <f t="shared" si="24"/>
        <v>0</v>
      </c>
      <c r="Z143" s="146"/>
      <c r="AA143" s="142">
        <f>IF(X143=AB143,1,0)</f>
        <v>0</v>
      </c>
      <c r="AB143" s="55">
        <v>3</v>
      </c>
      <c r="AC143" s="536">
        <f>IF(AA143&gt;0,"Sanzione ex D.Lgs. 471/97, art. 13, c. 1","")</f>
      </c>
      <c r="AD143" s="536"/>
      <c r="AE143" s="536"/>
      <c r="AF143" s="452">
        <v>0.3</v>
      </c>
      <c r="AG143" s="452"/>
      <c r="AH143" s="452"/>
      <c r="AI143" s="145">
        <f>AA143*IF(V143&lt;=AJ143,1,0)</f>
        <v>0</v>
      </c>
      <c r="AJ143" s="463">
        <v>14</v>
      </c>
      <c r="AK143" s="463"/>
      <c r="AL143" s="464">
        <f>AF143*IF(EZ108&gt;2015,1/2,1)</f>
        <v>0.15</v>
      </c>
      <c r="AM143" s="464"/>
      <c r="AN143" s="465">
        <f>AF143*1/10*1/15*IF(EZ108&gt;2015,1/2,1)</f>
        <v>0.001</v>
      </c>
      <c r="AO143" s="465"/>
      <c r="AP143" s="463">
        <f>AI143*V143</f>
        <v>0</v>
      </c>
      <c r="AQ143" s="463"/>
      <c r="AR143" s="549">
        <f>AN143*AP143</f>
        <v>0</v>
      </c>
      <c r="AS143" s="549"/>
      <c r="AT143" s="549"/>
      <c r="AU143" s="144">
        <f t="shared" si="20"/>
        <v>0</v>
      </c>
      <c r="AV143" s="458">
        <f>AV142</f>
        <v>30</v>
      </c>
      <c r="AW143" s="459"/>
      <c r="AX143" s="456">
        <f>AF143*IF(EZ108&gt;2015,1/2,1)</f>
        <v>0.15</v>
      </c>
      <c r="AY143" s="456"/>
      <c r="AZ143" s="559">
        <v>0.1</v>
      </c>
      <c r="BA143" s="559"/>
      <c r="BB143" s="470">
        <v>0</v>
      </c>
      <c r="BC143" s="470"/>
      <c r="BD143" s="470"/>
      <c r="BE143" s="527">
        <f t="shared" si="21"/>
        <v>0</v>
      </c>
      <c r="BF143" s="527"/>
      <c r="BG143" s="527"/>
      <c r="BH143" s="143">
        <f>AA143*IF(V143&lt;=BI143,1,0)*IF(V143&gt;AV143,1,0)</f>
        <v>0</v>
      </c>
      <c r="BI143" s="528">
        <f>BI141</f>
        <v>90</v>
      </c>
      <c r="BJ143" s="529"/>
      <c r="BK143" s="558">
        <f>AF143*IF(EZ108&gt;2015,1/2,1)</f>
        <v>0.15</v>
      </c>
      <c r="BL143" s="558"/>
      <c r="BM143" s="570">
        <v>0.1111111111111111</v>
      </c>
      <c r="BN143" s="570"/>
      <c r="BO143" s="530">
        <v>0</v>
      </c>
      <c r="BP143" s="530"/>
      <c r="BQ143" s="530"/>
      <c r="BR143" s="531">
        <f>BH143*BK143*BM143</f>
        <v>0</v>
      </c>
      <c r="BS143" s="531"/>
      <c r="BT143" s="531"/>
      <c r="BU143" s="166">
        <f>AA143*(1-AI143-AU143-BH143)*IF(Y143=2,1,IF(Y143=99,IF(AB15="si",1,0),0))</f>
        <v>0</v>
      </c>
      <c r="BV143" s="590">
        <f t="shared" si="22"/>
        <v>0.3</v>
      </c>
      <c r="BW143" s="590"/>
      <c r="BX143" s="589">
        <v>0.125</v>
      </c>
      <c r="BY143" s="589"/>
      <c r="BZ143" s="399">
        <v>0</v>
      </c>
      <c r="CA143" s="399"/>
      <c r="CB143" s="399"/>
      <c r="CC143" s="689">
        <f t="shared" si="23"/>
        <v>0</v>
      </c>
      <c r="CD143" s="689"/>
      <c r="CE143" s="689"/>
      <c r="CF143" s="186"/>
      <c r="CG143" s="468"/>
      <c r="CH143" s="468"/>
      <c r="CI143" s="468"/>
      <c r="CJ143" s="468"/>
      <c r="CK143" s="469"/>
      <c r="CL143" s="469"/>
      <c r="CM143" s="469"/>
      <c r="CN143" s="195"/>
      <c r="CO143" s="195"/>
      <c r="CP143" s="195"/>
      <c r="CQ143" s="186"/>
      <c r="CR143" s="468"/>
      <c r="CS143" s="468"/>
      <c r="CT143" s="468"/>
      <c r="CU143" s="468"/>
      <c r="CV143" s="469"/>
      <c r="CW143" s="469"/>
      <c r="CX143" s="469"/>
      <c r="CY143" s="195"/>
      <c r="CZ143" s="195"/>
      <c r="DA143" s="195"/>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FC143" s="242"/>
      <c r="FD143" s="243"/>
      <c r="GD143" s="224" t="s">
        <v>91</v>
      </c>
      <c r="GE143" s="224">
        <f>MOD(YEAR(GB149),7)</f>
        <v>5</v>
      </c>
      <c r="GF143" s="228"/>
    </row>
    <row r="144" spans="1:188" s="5" customFormat="1" ht="12" hidden="1">
      <c r="A144" s="156">
        <f t="shared" si="0"/>
        <v>1</v>
      </c>
      <c r="C144" s="55" t="s">
        <v>9</v>
      </c>
      <c r="V144" s="431">
        <f>V143</f>
        <v>43858</v>
      </c>
      <c r="W144" s="431"/>
      <c r="X144" s="68">
        <f t="shared" si="24"/>
        <v>0</v>
      </c>
      <c r="Y144" s="68">
        <f t="shared" si="24"/>
        <v>0</v>
      </c>
      <c r="AA144" s="142">
        <f>IF(X144=AB144,1,IF(X144-10=AB144,1,0))</f>
        <v>0</v>
      </c>
      <c r="AB144" s="55">
        <v>4</v>
      </c>
      <c r="AC144" s="536">
        <f>IF(AA144&gt;0,"Sanzione ex D.P.R. 642/72, art. 25, c. 1","")</f>
      </c>
      <c r="AD144" s="536"/>
      <c r="AE144" s="536"/>
      <c r="AF144" s="452">
        <v>1</v>
      </c>
      <c r="AG144" s="452"/>
      <c r="AH144" s="452"/>
      <c r="AI144" s="186"/>
      <c r="AJ144" s="460">
        <v>0</v>
      </c>
      <c r="AK144" s="460"/>
      <c r="AL144" s="269"/>
      <c r="AM144" s="269"/>
      <c r="AN144" s="461"/>
      <c r="AO144" s="461"/>
      <c r="AP144" s="460"/>
      <c r="AQ144" s="460"/>
      <c r="AR144" s="462"/>
      <c r="AS144" s="462"/>
      <c r="AT144" s="462"/>
      <c r="AU144" s="144">
        <f t="shared" si="20"/>
        <v>0</v>
      </c>
      <c r="AV144" s="458">
        <f>AV143</f>
        <v>30</v>
      </c>
      <c r="AW144" s="459"/>
      <c r="AX144" s="456">
        <f>AF144</f>
        <v>1</v>
      </c>
      <c r="AY144" s="456"/>
      <c r="AZ144" s="559">
        <v>0.1</v>
      </c>
      <c r="BA144" s="559"/>
      <c r="BB144" s="470">
        <v>0</v>
      </c>
      <c r="BC144" s="470"/>
      <c r="BD144" s="470"/>
      <c r="BE144" s="527">
        <f t="shared" si="21"/>
        <v>0</v>
      </c>
      <c r="BF144" s="527"/>
      <c r="BG144" s="527"/>
      <c r="BH144" s="143">
        <f>AA144*IF(V144&lt;=BI144,1,0)*IF(V144&gt;AV144,1,0)</f>
        <v>0</v>
      </c>
      <c r="BI144" s="528">
        <f>BI143</f>
        <v>90</v>
      </c>
      <c r="BJ144" s="529"/>
      <c r="BK144" s="558">
        <f>AF144</f>
        <v>1</v>
      </c>
      <c r="BL144" s="558"/>
      <c r="BM144" s="570">
        <v>0.111111111111111</v>
      </c>
      <c r="BN144" s="570"/>
      <c r="BO144" s="530">
        <v>0</v>
      </c>
      <c r="BP144" s="530"/>
      <c r="BQ144" s="530"/>
      <c r="BR144" s="531">
        <f>BH144*BK144*BM144</f>
        <v>0</v>
      </c>
      <c r="BS144" s="531"/>
      <c r="BT144" s="531"/>
      <c r="BU144" s="166">
        <f>AA144*(1-AU144-BH144)*IF(Y144=2,1,0)</f>
        <v>0</v>
      </c>
      <c r="BV144" s="590">
        <f t="shared" si="22"/>
        <v>1</v>
      </c>
      <c r="BW144" s="590"/>
      <c r="BX144" s="589">
        <v>0.125</v>
      </c>
      <c r="BY144" s="589"/>
      <c r="BZ144" s="399">
        <v>0</v>
      </c>
      <c r="CA144" s="399"/>
      <c r="CB144" s="399"/>
      <c r="CC144" s="689">
        <f t="shared" si="23"/>
        <v>0</v>
      </c>
      <c r="CD144" s="689"/>
      <c r="CE144" s="689"/>
      <c r="CF144" s="167">
        <f>AA144*IF(Y144=3,1,0)</f>
        <v>0</v>
      </c>
      <c r="CG144" s="475">
        <f>AF144</f>
        <v>1</v>
      </c>
      <c r="CH144" s="475"/>
      <c r="CI144" s="473">
        <v>0.14285714285714285</v>
      </c>
      <c r="CJ144" s="473"/>
      <c r="CK144" s="467">
        <v>0</v>
      </c>
      <c r="CL144" s="467"/>
      <c r="CM144" s="467"/>
      <c r="CN144" s="474">
        <f>CF144*CG144*CI144</f>
        <v>0</v>
      </c>
      <c r="CO144" s="474"/>
      <c r="CP144" s="474"/>
      <c r="CQ144" s="167">
        <f>AA144*IF(Y144=4,1,0)</f>
        <v>0</v>
      </c>
      <c r="CR144" s="475">
        <f>AF144</f>
        <v>1</v>
      </c>
      <c r="CS144" s="475"/>
      <c r="CT144" s="473">
        <v>0.16666666666666666</v>
      </c>
      <c r="CU144" s="473"/>
      <c r="CV144" s="467">
        <v>0</v>
      </c>
      <c r="CW144" s="467"/>
      <c r="CX144" s="467"/>
      <c r="CY144" s="474">
        <f>CQ144*CR144*CT144</f>
        <v>0</v>
      </c>
      <c r="CZ144" s="474"/>
      <c r="DA144" s="474"/>
      <c r="DD144" s="59" t="s">
        <v>125</v>
      </c>
      <c r="DE144" s="59"/>
      <c r="DF144" s="59"/>
      <c r="DG144" s="59"/>
      <c r="DH144" s="59"/>
      <c r="DI144" s="59"/>
      <c r="DJ144" s="59"/>
      <c r="DK144" s="59"/>
      <c r="DL144" s="59"/>
      <c r="DM144" s="59"/>
      <c r="DN144" s="59"/>
      <c r="DO144" s="59"/>
      <c r="DP144" s="59"/>
      <c r="DQ144" s="386" t="str">
        <f aca="true" t="shared" si="25" ref="DQ144:DQ165">LEFT(DD144,4)</f>
        <v>2001</v>
      </c>
      <c r="DR144" s="386"/>
      <c r="DS144" s="60">
        <v>2</v>
      </c>
      <c r="DT144" s="386">
        <v>8918</v>
      </c>
      <c r="DU144" s="386"/>
      <c r="DV144" s="60">
        <v>1</v>
      </c>
      <c r="DW144" s="60">
        <v>2</v>
      </c>
      <c r="DX144" s="386">
        <v>1990</v>
      </c>
      <c r="DY144" s="386"/>
      <c r="DZ144" s="60">
        <v>2</v>
      </c>
      <c r="EA144" s="61">
        <f>EA110</f>
        <v>1</v>
      </c>
      <c r="EB144" s="61">
        <f>EB110</f>
        <v>1</v>
      </c>
      <c r="EC144" s="61">
        <f aca="true" t="shared" si="26" ref="EC144:EC165">IF(M107=DQ144,1,0)*EA144*EB144</f>
        <v>0</v>
      </c>
      <c r="ED144" s="386">
        <f aca="true" t="shared" si="27" ref="ED144:ED165">DQ144*EC144</f>
        <v>0</v>
      </c>
      <c r="EE144" s="386"/>
      <c r="EF144" s="60">
        <f aca="true" t="shared" si="28" ref="EF144:EF165">DS144*EC144</f>
        <v>0</v>
      </c>
      <c r="EG144" s="386">
        <f aca="true" t="shared" si="29" ref="EG144:EG165">DT144*EC144</f>
        <v>0</v>
      </c>
      <c r="EH144" s="386"/>
      <c r="EI144" s="60">
        <f aca="true" t="shared" si="30" ref="EI144:EI165">DV144*EC144</f>
        <v>0</v>
      </c>
      <c r="EJ144" s="60">
        <f aca="true" t="shared" si="31" ref="EJ144:EJ165">DW144*EC144</f>
        <v>0</v>
      </c>
      <c r="EK144" s="386">
        <f aca="true" t="shared" si="32" ref="EK144:EK165">DX144*EC144</f>
        <v>0</v>
      </c>
      <c r="EL144" s="386"/>
      <c r="EM144" s="60">
        <f aca="true" t="shared" si="33" ref="EM144:EM165">DZ144*EC144</f>
        <v>0</v>
      </c>
      <c r="EN144" s="386">
        <f>EC144*9999</f>
        <v>0</v>
      </c>
      <c r="EO144" s="386"/>
      <c r="EP144" s="386">
        <f>IF(ER144&lt;&gt;0,EC144*ER144,0)</f>
        <v>0</v>
      </c>
      <c r="EQ144" s="386"/>
      <c r="ER144" s="385">
        <f>ER110</f>
        <v>0</v>
      </c>
      <c r="ES144" s="385"/>
      <c r="ET144" s="386">
        <f aca="true" t="shared" si="34" ref="ET144:ET165">EC144*ER144</f>
        <v>0</v>
      </c>
      <c r="EU144" s="386"/>
      <c r="EV144" s="82"/>
      <c r="EW144" s="82"/>
      <c r="EX144" s="82"/>
      <c r="EY144" s="82"/>
      <c r="EZ144" s="82"/>
      <c r="FA144" s="82"/>
      <c r="FB144" s="82"/>
      <c r="FC144" s="242"/>
      <c r="FD144" s="243"/>
      <c r="FE144" s="55">
        <v>4</v>
      </c>
      <c r="FF144" s="159" t="s">
        <v>55</v>
      </c>
      <c r="GD144" s="224" t="s">
        <v>93</v>
      </c>
      <c r="GE144" s="224">
        <f>MOD(19*GE141+24,30)</f>
        <v>7</v>
      </c>
      <c r="GF144" s="228">
        <f>IF(GE144=28,1,0)</f>
        <v>0</v>
      </c>
    </row>
    <row r="145" spans="1:188" s="5" customFormat="1" ht="12" hidden="1">
      <c r="A145" s="156">
        <f t="shared" si="0"/>
        <v>1</v>
      </c>
      <c r="C145" s="55" t="s">
        <v>126</v>
      </c>
      <c r="V145" s="431">
        <f>V144</f>
        <v>43858</v>
      </c>
      <c r="W145" s="431"/>
      <c r="X145" s="68">
        <f t="shared" si="24"/>
        <v>0</v>
      </c>
      <c r="Y145" s="68">
        <f t="shared" si="24"/>
        <v>0</v>
      </c>
      <c r="AA145" s="142">
        <f>IF(X145=AB145,1,0)</f>
        <v>0</v>
      </c>
      <c r="AB145" s="55">
        <v>5</v>
      </c>
      <c r="AC145" s="536">
        <f>IF(AA145&gt;0,"Sanzione ex D.P.R. 131/86, art. 69","")</f>
      </c>
      <c r="AD145" s="536"/>
      <c r="AE145" s="536"/>
      <c r="AF145" s="452">
        <v>1.2</v>
      </c>
      <c r="AG145" s="452"/>
      <c r="AH145" s="452"/>
      <c r="AI145" s="186"/>
      <c r="AJ145" s="460">
        <v>0</v>
      </c>
      <c r="AK145" s="460"/>
      <c r="AL145" s="269"/>
      <c r="AM145" s="269"/>
      <c r="AN145" s="461"/>
      <c r="AO145" s="461"/>
      <c r="AP145" s="460"/>
      <c r="AQ145" s="460"/>
      <c r="AR145" s="462"/>
      <c r="AS145" s="462"/>
      <c r="AT145" s="462"/>
      <c r="AU145" s="144">
        <f t="shared" si="20"/>
        <v>0</v>
      </c>
      <c r="AV145" s="458">
        <f>AV144</f>
        <v>30</v>
      </c>
      <c r="AW145" s="459"/>
      <c r="AX145" s="556">
        <f>AF145/2</f>
        <v>0.6</v>
      </c>
      <c r="AY145" s="556"/>
      <c r="AZ145" s="457">
        <v>0.1</v>
      </c>
      <c r="BA145" s="457"/>
      <c r="BB145" s="470">
        <f>IF(CQ314&gt;0,200,0)</f>
        <v>200</v>
      </c>
      <c r="BC145" s="470"/>
      <c r="BD145" s="470"/>
      <c r="BE145" s="527">
        <f t="shared" si="21"/>
        <v>0</v>
      </c>
      <c r="BF145" s="527"/>
      <c r="BG145" s="527"/>
      <c r="BH145" s="143">
        <f>AA145*IF(V145&lt;=BI145,1,0)*IF(V145&gt;AV145,1,0)</f>
        <v>0</v>
      </c>
      <c r="BI145" s="528">
        <f>BI144</f>
        <v>90</v>
      </c>
      <c r="BJ145" s="529"/>
      <c r="BK145" s="558">
        <f>AF145</f>
        <v>1.2</v>
      </c>
      <c r="BL145" s="558"/>
      <c r="BM145" s="575">
        <v>0.1</v>
      </c>
      <c r="BN145" s="575"/>
      <c r="BO145" s="530">
        <v>0</v>
      </c>
      <c r="BP145" s="530"/>
      <c r="BQ145" s="530"/>
      <c r="BR145" s="531">
        <f>BH145*BK145*BM145</f>
        <v>0</v>
      </c>
      <c r="BS145" s="531"/>
      <c r="BT145" s="531"/>
      <c r="BU145" s="166">
        <f>AA145*(1-AU145-BH145)*IF(Y145=2,1,0)</f>
        <v>0</v>
      </c>
      <c r="BV145" s="590">
        <f t="shared" si="22"/>
        <v>1.2</v>
      </c>
      <c r="BW145" s="590"/>
      <c r="BX145" s="589">
        <v>0.125</v>
      </c>
      <c r="BY145" s="589"/>
      <c r="BZ145" s="399">
        <v>0</v>
      </c>
      <c r="CA145" s="399"/>
      <c r="CB145" s="399"/>
      <c r="CC145" s="689">
        <f t="shared" si="23"/>
        <v>0</v>
      </c>
      <c r="CD145" s="689"/>
      <c r="CE145" s="689"/>
      <c r="CF145" s="167">
        <f>AA145*IF(Y145=3,1,0)</f>
        <v>0</v>
      </c>
      <c r="CG145" s="475">
        <f>AF145</f>
        <v>1.2</v>
      </c>
      <c r="CH145" s="475"/>
      <c r="CI145" s="473">
        <v>0.14285714285714285</v>
      </c>
      <c r="CJ145" s="473"/>
      <c r="CK145" s="467">
        <v>0</v>
      </c>
      <c r="CL145" s="467"/>
      <c r="CM145" s="467"/>
      <c r="CN145" s="474">
        <f>CF145*CG145*CI145</f>
        <v>0</v>
      </c>
      <c r="CO145" s="474"/>
      <c r="CP145" s="474"/>
      <c r="CQ145" s="167">
        <f>AA145*IF(Y145=4,1,0)</f>
        <v>0</v>
      </c>
      <c r="CR145" s="475">
        <f>AF145</f>
        <v>1.2</v>
      </c>
      <c r="CS145" s="475"/>
      <c r="CT145" s="473">
        <v>0.16666666666666666</v>
      </c>
      <c r="CU145" s="473"/>
      <c r="CV145" s="467">
        <v>0</v>
      </c>
      <c r="CW145" s="467"/>
      <c r="CX145" s="467"/>
      <c r="CY145" s="474">
        <f>CQ145*CR145*CT145</f>
        <v>0</v>
      </c>
      <c r="CZ145" s="474"/>
      <c r="DA145" s="474"/>
      <c r="DD145" s="59" t="s">
        <v>127</v>
      </c>
      <c r="DE145" s="59"/>
      <c r="DF145" s="59"/>
      <c r="DG145" s="59"/>
      <c r="DH145" s="59"/>
      <c r="DI145" s="59"/>
      <c r="DJ145" s="59"/>
      <c r="DK145" s="59"/>
      <c r="DL145" s="59"/>
      <c r="DM145" s="59"/>
      <c r="DN145" s="59"/>
      <c r="DO145" s="59"/>
      <c r="DP145" s="59"/>
      <c r="DQ145" s="386" t="str">
        <f t="shared" si="25"/>
        <v>2002</v>
      </c>
      <c r="DR145" s="386"/>
      <c r="DS145" s="60">
        <v>2</v>
      </c>
      <c r="DT145" s="386">
        <v>8918</v>
      </c>
      <c r="DU145" s="386"/>
      <c r="DV145" s="60">
        <v>1</v>
      </c>
      <c r="DW145" s="60">
        <v>2</v>
      </c>
      <c r="DX145" s="386">
        <v>1990</v>
      </c>
      <c r="DY145" s="386"/>
      <c r="DZ145" s="60">
        <v>2</v>
      </c>
      <c r="EA145" s="61">
        <f aca="true" t="shared" si="35" ref="EA145:EA165">EA144</f>
        <v>1</v>
      </c>
      <c r="EB145" s="61">
        <f aca="true" t="shared" si="36" ref="EB145:EB165">EB144</f>
        <v>1</v>
      </c>
      <c r="EC145" s="61">
        <f t="shared" si="26"/>
        <v>0</v>
      </c>
      <c r="ED145" s="386">
        <f t="shared" si="27"/>
        <v>0</v>
      </c>
      <c r="EE145" s="386"/>
      <c r="EF145" s="60">
        <f t="shared" si="28"/>
        <v>0</v>
      </c>
      <c r="EG145" s="386">
        <f t="shared" si="29"/>
        <v>0</v>
      </c>
      <c r="EH145" s="386"/>
      <c r="EI145" s="60">
        <f t="shared" si="30"/>
        <v>0</v>
      </c>
      <c r="EJ145" s="60">
        <f t="shared" si="31"/>
        <v>0</v>
      </c>
      <c r="EK145" s="386">
        <f t="shared" si="32"/>
        <v>0</v>
      </c>
      <c r="EL145" s="386"/>
      <c r="EM145" s="60">
        <f t="shared" si="33"/>
        <v>0</v>
      </c>
      <c r="EN145" s="386"/>
      <c r="EO145" s="386"/>
      <c r="EP145" s="386">
        <f>IF(ER145&lt;&gt;0,EC145*ER145,0)</f>
        <v>0</v>
      </c>
      <c r="EQ145" s="386"/>
      <c r="ER145" s="385">
        <f aca="true" t="shared" si="37" ref="ER145:ER165">ER144</f>
        <v>0</v>
      </c>
      <c r="ES145" s="385"/>
      <c r="ET145" s="386">
        <f t="shared" si="34"/>
        <v>0</v>
      </c>
      <c r="EU145" s="386"/>
      <c r="EV145" s="82"/>
      <c r="EW145" s="82"/>
      <c r="EX145" s="82"/>
      <c r="EY145" s="82"/>
      <c r="EZ145" s="82"/>
      <c r="FA145" s="82"/>
      <c r="FB145" s="82"/>
      <c r="FC145" s="242"/>
      <c r="FD145" s="243"/>
      <c r="FE145" s="55">
        <v>3</v>
      </c>
      <c r="FF145" s="159" t="s">
        <v>59</v>
      </c>
      <c r="GD145" s="224" t="s">
        <v>94</v>
      </c>
      <c r="GE145" s="224">
        <f>MOD(2*GE142+4*GE143+6*GE144+5,7)</f>
        <v>6</v>
      </c>
      <c r="GF145" s="228">
        <f>IF(GE145=6,1,0)</f>
        <v>1</v>
      </c>
    </row>
    <row r="146" spans="1:188" s="5" customFormat="1" ht="12" hidden="1">
      <c r="A146" s="156">
        <f t="shared" si="0"/>
        <v>1</v>
      </c>
      <c r="E146" s="4"/>
      <c r="F146" s="4"/>
      <c r="G146" s="4"/>
      <c r="H146" s="4"/>
      <c r="I146" s="10"/>
      <c r="J146" s="4"/>
      <c r="K146" s="4"/>
      <c r="L146" s="4"/>
      <c r="M146" s="298"/>
      <c r="N146" s="298"/>
      <c r="O146" s="298"/>
      <c r="P146" s="34"/>
      <c r="Q146" s="34"/>
      <c r="R146" s="34"/>
      <c r="S146" s="34"/>
      <c r="T146" s="34"/>
      <c r="U146" s="34"/>
      <c r="V146" s="661">
        <f>V145</f>
        <v>43858</v>
      </c>
      <c r="W146" s="661"/>
      <c r="X146" s="299">
        <f t="shared" si="24"/>
        <v>0</v>
      </c>
      <c r="Y146" s="299">
        <f t="shared" si="24"/>
        <v>0</v>
      </c>
      <c r="Z146" s="34"/>
      <c r="AA146" s="142">
        <f>IF(X146=AB146,1,0)</f>
        <v>0</v>
      </c>
      <c r="AB146" s="162">
        <v>6</v>
      </c>
      <c r="AC146" s="536">
        <f>IF(AA146&gt;0,"Sanzione ex D.P.R. 641/72, art. 9","")</f>
      </c>
      <c r="AD146" s="536"/>
      <c r="AE146" s="536"/>
      <c r="AF146" s="453">
        <v>1</v>
      </c>
      <c r="AG146" s="453"/>
      <c r="AH146" s="453"/>
      <c r="AI146" s="186"/>
      <c r="AJ146" s="455">
        <v>0</v>
      </c>
      <c r="AK146" s="455"/>
      <c r="AL146" s="278"/>
      <c r="AM146" s="278"/>
      <c r="AN146" s="555"/>
      <c r="AO146" s="555"/>
      <c r="AP146" s="455"/>
      <c r="AQ146" s="455"/>
      <c r="AR146" s="409"/>
      <c r="AS146" s="409"/>
      <c r="AT146" s="409"/>
      <c r="AU146" s="144">
        <f t="shared" si="20"/>
        <v>0</v>
      </c>
      <c r="AV146" s="458">
        <f>AV145</f>
        <v>30</v>
      </c>
      <c r="AW146" s="459"/>
      <c r="AX146" s="556">
        <f>AF146</f>
        <v>1</v>
      </c>
      <c r="AY146" s="556"/>
      <c r="AZ146" s="457">
        <v>0.1</v>
      </c>
      <c r="BA146" s="457"/>
      <c r="BB146" s="566">
        <v>103</v>
      </c>
      <c r="BC146" s="566"/>
      <c r="BD146" s="566"/>
      <c r="BE146" s="565">
        <f t="shared" si="21"/>
        <v>0</v>
      </c>
      <c r="BF146" s="565"/>
      <c r="BG146" s="565"/>
      <c r="BH146" s="143">
        <f>AA146*IF(V146&lt;=BI146,1,0)*IF(V146&gt;AV146,1,0)</f>
        <v>0</v>
      </c>
      <c r="BI146" s="528">
        <f>BI145</f>
        <v>90</v>
      </c>
      <c r="BJ146" s="529"/>
      <c r="BK146" s="574">
        <f>AF146</f>
        <v>1</v>
      </c>
      <c r="BL146" s="574"/>
      <c r="BM146" s="573">
        <v>0.111111111111111</v>
      </c>
      <c r="BN146" s="573"/>
      <c r="BO146" s="571">
        <v>103</v>
      </c>
      <c r="BP146" s="571"/>
      <c r="BQ146" s="571"/>
      <c r="BR146" s="572">
        <f>BH146*BK146*BM146</f>
        <v>0</v>
      </c>
      <c r="BS146" s="572"/>
      <c r="BT146" s="572"/>
      <c r="BU146" s="166">
        <f>AA146*(1-AU146-BH146)*IF(Y146=2,1,0)</f>
        <v>0</v>
      </c>
      <c r="BV146" s="557">
        <f t="shared" si="22"/>
        <v>1</v>
      </c>
      <c r="BW146" s="557"/>
      <c r="BX146" s="407">
        <v>0.125</v>
      </c>
      <c r="BY146" s="407"/>
      <c r="BZ146" s="569">
        <v>103</v>
      </c>
      <c r="CA146" s="569"/>
      <c r="CB146" s="569"/>
      <c r="CC146" s="401">
        <f t="shared" si="23"/>
        <v>0</v>
      </c>
      <c r="CD146" s="401"/>
      <c r="CE146" s="401"/>
      <c r="CF146" s="167">
        <f>AA146*IF(Y146=3,1,0)</f>
        <v>0</v>
      </c>
      <c r="CG146" s="429">
        <f>AF146</f>
        <v>1</v>
      </c>
      <c r="CH146" s="429"/>
      <c r="CI146" s="532">
        <v>0.14285714285714285</v>
      </c>
      <c r="CJ146" s="532"/>
      <c r="CK146" s="690">
        <v>103</v>
      </c>
      <c r="CL146" s="690"/>
      <c r="CM146" s="690"/>
      <c r="CN146" s="404">
        <f>CF146*CG146*CI146</f>
        <v>0</v>
      </c>
      <c r="CO146" s="404"/>
      <c r="CP146" s="404"/>
      <c r="CQ146" s="167">
        <f>AA146*IF(Y146=4,1,0)</f>
        <v>0</v>
      </c>
      <c r="CR146" s="429">
        <f>AF146</f>
        <v>1</v>
      </c>
      <c r="CS146" s="429"/>
      <c r="CT146" s="532">
        <v>0.16666666666666666</v>
      </c>
      <c r="CU146" s="532"/>
      <c r="CV146" s="690">
        <v>103</v>
      </c>
      <c r="CW146" s="690"/>
      <c r="CX146" s="690"/>
      <c r="CY146" s="404">
        <f>CQ146*CR146*CT146</f>
        <v>0</v>
      </c>
      <c r="CZ146" s="404"/>
      <c r="DA146" s="404"/>
      <c r="DD146" s="59" t="s">
        <v>128</v>
      </c>
      <c r="DE146" s="59"/>
      <c r="DF146" s="59"/>
      <c r="DG146" s="59"/>
      <c r="DH146" s="59"/>
      <c r="DI146" s="59"/>
      <c r="DJ146" s="59"/>
      <c r="DK146" s="59"/>
      <c r="DL146" s="59"/>
      <c r="DM146" s="59"/>
      <c r="DN146" s="59"/>
      <c r="DO146" s="59"/>
      <c r="DP146" s="59"/>
      <c r="DQ146" s="386" t="str">
        <f t="shared" si="25"/>
        <v>2003</v>
      </c>
      <c r="DR146" s="386"/>
      <c r="DS146" s="60">
        <v>2</v>
      </c>
      <c r="DT146" s="386">
        <v>8918</v>
      </c>
      <c r="DU146" s="386"/>
      <c r="DV146" s="60">
        <v>1</v>
      </c>
      <c r="DW146" s="60">
        <v>2</v>
      </c>
      <c r="DX146" s="386">
        <v>1990</v>
      </c>
      <c r="DY146" s="386"/>
      <c r="DZ146" s="60">
        <v>2</v>
      </c>
      <c r="EA146" s="61">
        <f t="shared" si="35"/>
        <v>1</v>
      </c>
      <c r="EB146" s="61">
        <f t="shared" si="36"/>
        <v>1</v>
      </c>
      <c r="EC146" s="61">
        <f t="shared" si="26"/>
        <v>0</v>
      </c>
      <c r="ED146" s="386">
        <f t="shared" si="27"/>
        <v>0</v>
      </c>
      <c r="EE146" s="386"/>
      <c r="EF146" s="60">
        <f t="shared" si="28"/>
        <v>0</v>
      </c>
      <c r="EG146" s="386">
        <f t="shared" si="29"/>
        <v>0</v>
      </c>
      <c r="EH146" s="386"/>
      <c r="EI146" s="60">
        <f t="shared" si="30"/>
        <v>0</v>
      </c>
      <c r="EJ146" s="60">
        <f t="shared" si="31"/>
        <v>0</v>
      </c>
      <c r="EK146" s="386">
        <f t="shared" si="32"/>
        <v>0</v>
      </c>
      <c r="EL146" s="386"/>
      <c r="EM146" s="60">
        <f t="shared" si="33"/>
        <v>0</v>
      </c>
      <c r="EN146" s="386">
        <f>EC146*9999</f>
        <v>0</v>
      </c>
      <c r="EO146" s="386"/>
      <c r="EP146" s="386">
        <f>IF(ER146&lt;&gt;0,EC146*(ER146-1),0)</f>
        <v>0</v>
      </c>
      <c r="EQ146" s="386"/>
      <c r="ER146" s="385">
        <f t="shared" si="37"/>
        <v>0</v>
      </c>
      <c r="ES146" s="385"/>
      <c r="ET146" s="386">
        <f t="shared" si="34"/>
        <v>0</v>
      </c>
      <c r="EU146" s="386"/>
      <c r="EV146" s="82"/>
      <c r="EW146" s="82"/>
      <c r="EX146" s="82"/>
      <c r="EY146" s="82"/>
      <c r="EZ146" s="82"/>
      <c r="FA146" s="82"/>
      <c r="FB146" s="82"/>
      <c r="FC146" s="242"/>
      <c r="FD146" s="243"/>
      <c r="FE146" s="55">
        <v>2</v>
      </c>
      <c r="FF146" s="159" t="s">
        <v>62</v>
      </c>
      <c r="GD146" s="224" t="s">
        <v>40</v>
      </c>
      <c r="GE146" s="224">
        <f>IF(GE144+GE145&lt;10,3,4)</f>
        <v>4</v>
      </c>
      <c r="GF146" s="229"/>
    </row>
    <row r="147" spans="1:188" s="5" customFormat="1" ht="12" hidden="1">
      <c r="A147" s="156">
        <f t="shared" si="0"/>
        <v>1</v>
      </c>
      <c r="E147" s="394">
        <f>FE223</f>
        <v>275</v>
      </c>
      <c r="F147" s="394"/>
      <c r="G147" s="394"/>
      <c r="H147" s="394"/>
      <c r="I147" s="394">
        <f>I141</f>
        <v>43858</v>
      </c>
      <c r="J147" s="394"/>
      <c r="K147" s="394"/>
      <c r="L147" s="394"/>
      <c r="M147" s="373"/>
      <c r="N147" s="373"/>
      <c r="O147" s="373"/>
      <c r="P147" s="373"/>
      <c r="Q147" s="373"/>
      <c r="R147" s="394">
        <f>R141</f>
        <v>44196</v>
      </c>
      <c r="S147" s="394"/>
      <c r="T147" s="394"/>
      <c r="U147" s="394"/>
      <c r="V147" s="431">
        <f>IF(E147&gt;I147,0,(I147-E147)*D421*D422)</f>
        <v>43583</v>
      </c>
      <c r="W147" s="431"/>
      <c r="X147" s="299">
        <f t="shared" si="24"/>
        <v>0</v>
      </c>
      <c r="Y147" s="299">
        <f t="shared" si="24"/>
        <v>0</v>
      </c>
      <c r="Z147" s="34"/>
      <c r="AA147" s="142">
        <f>IF(X147=AB147,1,0)</f>
        <v>0</v>
      </c>
      <c r="AB147" s="162">
        <v>7</v>
      </c>
      <c r="AC147" s="430">
        <f>IF(AA147=0,"","Sanzione ex D.Lgs. 471/97, art. 1, c. 2"&amp;IF(DO106=1/3," e c. 8",""))</f>
      </c>
      <c r="AD147" s="430"/>
      <c r="AE147" s="430"/>
      <c r="AF147" s="453">
        <f>90%*(1+IF(AA147=1,DO106,0))</f>
        <v>0.9</v>
      </c>
      <c r="AG147" s="453"/>
      <c r="AH147" s="453"/>
      <c r="AI147" s="186"/>
      <c r="AJ147" s="455">
        <v>0</v>
      </c>
      <c r="AK147" s="455"/>
      <c r="AL147" s="278"/>
      <c r="AM147" s="278"/>
      <c r="AN147" s="300"/>
      <c r="AO147" s="300"/>
      <c r="AP147" s="278"/>
      <c r="AQ147" s="278"/>
      <c r="AR147" s="462"/>
      <c r="AS147" s="462"/>
      <c r="AT147" s="462"/>
      <c r="AU147" s="186"/>
      <c r="AV147" s="455"/>
      <c r="AW147" s="455"/>
      <c r="AX147" s="560"/>
      <c r="AY147" s="560"/>
      <c r="AZ147" s="561"/>
      <c r="BA147" s="561"/>
      <c r="BB147" s="466"/>
      <c r="BC147" s="466"/>
      <c r="BD147" s="466"/>
      <c r="BE147" s="409"/>
      <c r="BF147" s="409"/>
      <c r="BG147" s="409"/>
      <c r="BH147" s="280">
        <f>AA147*IF(V147&lt;=BI147,1,0)*IF(V147=0,2,1)</f>
        <v>0</v>
      </c>
      <c r="BI147" s="567">
        <f>90+GQ149</f>
        <v>91</v>
      </c>
      <c r="BJ147" s="568"/>
      <c r="BK147" s="560"/>
      <c r="BL147" s="560"/>
      <c r="BM147" s="561"/>
      <c r="BN147" s="561"/>
      <c r="BO147" s="466"/>
      <c r="BP147" s="466"/>
      <c r="BQ147" s="466"/>
      <c r="BR147" s="409"/>
      <c r="BS147" s="409"/>
      <c r="BT147" s="409"/>
      <c r="BU147" s="166">
        <f>AA147*(1-BH147)*IF(Y147=2,1,0)</f>
        <v>0</v>
      </c>
      <c r="BV147" s="557">
        <f t="shared" si="22"/>
        <v>0.9</v>
      </c>
      <c r="BW147" s="557"/>
      <c r="BX147" s="407">
        <v>0.125</v>
      </c>
      <c r="BY147" s="407"/>
      <c r="BZ147" s="399">
        <v>0</v>
      </c>
      <c r="CA147" s="399"/>
      <c r="CB147" s="399"/>
      <c r="CC147" s="401">
        <f t="shared" si="23"/>
        <v>0</v>
      </c>
      <c r="CD147" s="401"/>
      <c r="CE147" s="401"/>
      <c r="CF147" s="167">
        <f>AA147*IF(Y147=3,1,0)</f>
        <v>0</v>
      </c>
      <c r="CG147" s="429">
        <f>AF147</f>
        <v>0.9</v>
      </c>
      <c r="CH147" s="429"/>
      <c r="CI147" s="532">
        <v>0.14285714285714285</v>
      </c>
      <c r="CJ147" s="532"/>
      <c r="CK147" s="467">
        <v>0</v>
      </c>
      <c r="CL147" s="467"/>
      <c r="CM147" s="467"/>
      <c r="CN147" s="404">
        <f>CF147*CG147*CI147</f>
        <v>0</v>
      </c>
      <c r="CO147" s="404"/>
      <c r="CP147" s="404"/>
      <c r="CQ147" s="167">
        <f>AA147*IF(Y147=4,1,0)</f>
        <v>0</v>
      </c>
      <c r="CR147" s="429">
        <f>AF147</f>
        <v>0.9</v>
      </c>
      <c r="CS147" s="429"/>
      <c r="CT147" s="532">
        <v>0.16666666666666666</v>
      </c>
      <c r="CU147" s="532"/>
      <c r="CV147" s="467">
        <v>0</v>
      </c>
      <c r="CW147" s="467"/>
      <c r="CX147" s="467"/>
      <c r="CY147" s="404">
        <f>CQ147*CR147*CT147</f>
        <v>0</v>
      </c>
      <c r="CZ147" s="404"/>
      <c r="DA147" s="404"/>
      <c r="DD147" s="59" t="s">
        <v>129</v>
      </c>
      <c r="DE147" s="59"/>
      <c r="DF147" s="59"/>
      <c r="DG147" s="59"/>
      <c r="DH147" s="59"/>
      <c r="DI147" s="59"/>
      <c r="DJ147" s="59"/>
      <c r="DK147" s="59"/>
      <c r="DL147" s="59"/>
      <c r="DM147" s="59"/>
      <c r="DN147" s="59"/>
      <c r="DO147" s="59"/>
      <c r="DP147" s="59"/>
      <c r="DQ147" s="386" t="str">
        <f t="shared" si="25"/>
        <v>4001</v>
      </c>
      <c r="DR147" s="386"/>
      <c r="DS147" s="60">
        <v>2</v>
      </c>
      <c r="DT147" s="386">
        <v>8901</v>
      </c>
      <c r="DU147" s="386"/>
      <c r="DV147" s="60">
        <v>1</v>
      </c>
      <c r="DW147" s="60">
        <v>2</v>
      </c>
      <c r="DX147" s="386">
        <v>1989</v>
      </c>
      <c r="DY147" s="386"/>
      <c r="DZ147" s="60">
        <v>2</v>
      </c>
      <c r="EA147" s="61">
        <f t="shared" si="35"/>
        <v>1</v>
      </c>
      <c r="EB147" s="61">
        <f t="shared" si="36"/>
        <v>1</v>
      </c>
      <c r="EC147" s="61">
        <f t="shared" si="26"/>
        <v>0</v>
      </c>
      <c r="ED147" s="386">
        <f t="shared" si="27"/>
        <v>0</v>
      </c>
      <c r="EE147" s="386"/>
      <c r="EF147" s="60">
        <f t="shared" si="28"/>
        <v>0</v>
      </c>
      <c r="EG147" s="386">
        <f t="shared" si="29"/>
        <v>0</v>
      </c>
      <c r="EH147" s="386"/>
      <c r="EI147" s="60">
        <f t="shared" si="30"/>
        <v>0</v>
      </c>
      <c r="EJ147" s="60">
        <f t="shared" si="31"/>
        <v>0</v>
      </c>
      <c r="EK147" s="386">
        <f t="shared" si="32"/>
        <v>0</v>
      </c>
      <c r="EL147" s="386"/>
      <c r="EM147" s="60">
        <f t="shared" si="33"/>
        <v>0</v>
      </c>
      <c r="EN147" s="386">
        <f>EC147*9999</f>
        <v>0</v>
      </c>
      <c r="EO147" s="386"/>
      <c r="EP147" s="386">
        <f>IF(ER147&lt;&gt;0,EC147*(ER147-1),0)</f>
        <v>0</v>
      </c>
      <c r="EQ147" s="386"/>
      <c r="ER147" s="385">
        <f t="shared" si="37"/>
        <v>0</v>
      </c>
      <c r="ES147" s="385"/>
      <c r="ET147" s="386">
        <f t="shared" si="34"/>
        <v>0</v>
      </c>
      <c r="EU147" s="386"/>
      <c r="EV147" s="82"/>
      <c r="EW147" s="82"/>
      <c r="EX147" s="82"/>
      <c r="EY147" s="82"/>
      <c r="EZ147" s="82"/>
      <c r="FA147" s="82"/>
      <c r="FB147" s="82"/>
      <c r="FC147" s="242"/>
      <c r="FD147" s="243"/>
      <c r="FE147" s="55">
        <v>1</v>
      </c>
      <c r="FF147" s="159" t="s">
        <v>65</v>
      </c>
      <c r="GD147" s="224" t="s">
        <v>95</v>
      </c>
      <c r="GE147" s="224">
        <f>IF(GE146=3,GE144+GE145+22,IF(GE144+GE145-9=26,19,IF((GE144+GE145-9)*GF147=25,18,GE144+GE145-9)))</f>
        <v>4</v>
      </c>
      <c r="GF147" s="229">
        <f>GF141*GF144*GF145</f>
        <v>0</v>
      </c>
    </row>
    <row r="148" spans="1:199" s="5" customFormat="1" ht="12" hidden="1">
      <c r="A148" s="156">
        <f t="shared" si="0"/>
        <v>1</v>
      </c>
      <c r="E148" s="4"/>
      <c r="F148" s="4"/>
      <c r="G148" s="4"/>
      <c r="H148" s="4"/>
      <c r="I148" s="10"/>
      <c r="J148" s="4"/>
      <c r="K148" s="4"/>
      <c r="L148" s="4"/>
      <c r="M148" s="150"/>
      <c r="N148" s="150"/>
      <c r="O148" s="150"/>
      <c r="P148" s="112"/>
      <c r="Q148" s="112"/>
      <c r="R148" s="112"/>
      <c r="S148" s="112"/>
      <c r="T148" s="112"/>
      <c r="U148" s="112"/>
      <c r="V148" s="660">
        <f>V147</f>
        <v>43583</v>
      </c>
      <c r="W148" s="660"/>
      <c r="X148" s="147">
        <f t="shared" si="24"/>
        <v>0</v>
      </c>
      <c r="Y148" s="147">
        <f t="shared" si="24"/>
        <v>0</v>
      </c>
      <c r="Z148" s="112"/>
      <c r="AA148" s="148">
        <f>IF(X148=AB148,1,0)</f>
        <v>0</v>
      </c>
      <c r="AB148" s="149">
        <v>8</v>
      </c>
      <c r="AC148" s="537">
        <f>IF(AA148=0,"",IF(DO106=1/3,"Sanzione ex D.L. 78/2009, art. 12, c. 2 e D.Lgs. 471/97, art. 1, c. 8","Sanzione ex D.Lgs. 471/97, art. 1, c. 7"))</f>
      </c>
      <c r="AD148" s="537"/>
      <c r="AE148" s="537"/>
      <c r="AF148" s="454">
        <f>180%*(1+IF(AA148=1,DO106,0))</f>
        <v>1.8</v>
      </c>
      <c r="AG148" s="454"/>
      <c r="AH148" s="454"/>
      <c r="AI148" s="187"/>
      <c r="AJ148" s="428">
        <v>0</v>
      </c>
      <c r="AK148" s="428"/>
      <c r="AL148" s="270"/>
      <c r="AM148" s="270"/>
      <c r="AN148" s="277"/>
      <c r="AO148" s="277"/>
      <c r="AP148" s="270"/>
      <c r="AQ148" s="270"/>
      <c r="AR148" s="410"/>
      <c r="AS148" s="410"/>
      <c r="AT148" s="410"/>
      <c r="AU148" s="187"/>
      <c r="AV148" s="428"/>
      <c r="AW148" s="428"/>
      <c r="AX148" s="432"/>
      <c r="AY148" s="432"/>
      <c r="AZ148" s="413"/>
      <c r="BA148" s="413"/>
      <c r="BB148" s="433"/>
      <c r="BC148" s="433"/>
      <c r="BD148" s="433"/>
      <c r="BE148" s="410"/>
      <c r="BF148" s="410"/>
      <c r="BG148" s="410"/>
      <c r="BH148" s="282">
        <f>AA148*IF(V148&lt;=BI148,1,0)*IF(V148=0,2,1)</f>
        <v>0</v>
      </c>
      <c r="BI148" s="411">
        <f>BI147</f>
        <v>91</v>
      </c>
      <c r="BJ148" s="412"/>
      <c r="BK148" s="432"/>
      <c r="BL148" s="432"/>
      <c r="BM148" s="413"/>
      <c r="BN148" s="413"/>
      <c r="BO148" s="433"/>
      <c r="BP148" s="433"/>
      <c r="BQ148" s="433"/>
      <c r="BR148" s="410"/>
      <c r="BS148" s="410"/>
      <c r="BT148" s="410"/>
      <c r="BU148" s="301">
        <f>AA148*(1-BH148)*IF(Y148=2,1,0)</f>
        <v>0</v>
      </c>
      <c r="BV148" s="406">
        <f t="shared" si="22"/>
        <v>1.8</v>
      </c>
      <c r="BW148" s="406"/>
      <c r="BX148" s="408">
        <v>0.125</v>
      </c>
      <c r="BY148" s="408"/>
      <c r="BZ148" s="400">
        <v>0</v>
      </c>
      <c r="CA148" s="400"/>
      <c r="CB148" s="400"/>
      <c r="CC148" s="402">
        <f t="shared" si="23"/>
        <v>0</v>
      </c>
      <c r="CD148" s="402"/>
      <c r="CE148" s="402"/>
      <c r="CF148" s="168">
        <f>AA148*IF(Y148=3,1,0)</f>
        <v>0</v>
      </c>
      <c r="CG148" s="523">
        <f>AF148</f>
        <v>1.8</v>
      </c>
      <c r="CH148" s="523"/>
      <c r="CI148" s="524">
        <v>0.14285714285714285</v>
      </c>
      <c r="CJ148" s="524"/>
      <c r="CK148" s="525">
        <v>0</v>
      </c>
      <c r="CL148" s="525"/>
      <c r="CM148" s="525"/>
      <c r="CN148" s="405">
        <f>CF148*CG148*CI148</f>
        <v>0</v>
      </c>
      <c r="CO148" s="405"/>
      <c r="CP148" s="405"/>
      <c r="CQ148" s="168">
        <f>AA148*IF(Y148=4,1,0)</f>
        <v>0</v>
      </c>
      <c r="CR148" s="523">
        <f>AF148</f>
        <v>1.8</v>
      </c>
      <c r="CS148" s="523"/>
      <c r="CT148" s="524">
        <v>0.16666666666666666</v>
      </c>
      <c r="CU148" s="524"/>
      <c r="CV148" s="525">
        <v>0</v>
      </c>
      <c r="CW148" s="525"/>
      <c r="CX148" s="525"/>
      <c r="CY148" s="405">
        <f>CQ148*CR148*CT148</f>
        <v>0</v>
      </c>
      <c r="CZ148" s="405"/>
      <c r="DA148" s="405"/>
      <c r="DD148" s="59" t="s">
        <v>130</v>
      </c>
      <c r="DE148" s="59"/>
      <c r="DF148" s="59"/>
      <c r="DG148" s="59"/>
      <c r="DH148" s="59"/>
      <c r="DI148" s="59"/>
      <c r="DJ148" s="59"/>
      <c r="DK148" s="59"/>
      <c r="DL148" s="59"/>
      <c r="DM148" s="59"/>
      <c r="DN148" s="59"/>
      <c r="DO148" s="59"/>
      <c r="DP148" s="59"/>
      <c r="DQ148" s="386" t="str">
        <f t="shared" si="25"/>
        <v>4033</v>
      </c>
      <c r="DR148" s="386"/>
      <c r="DS148" s="60">
        <v>2</v>
      </c>
      <c r="DT148" s="386">
        <v>8901</v>
      </c>
      <c r="DU148" s="386"/>
      <c r="DV148" s="60">
        <v>1</v>
      </c>
      <c r="DW148" s="60">
        <v>2</v>
      </c>
      <c r="DX148" s="386">
        <v>1989</v>
      </c>
      <c r="DY148" s="386"/>
      <c r="DZ148" s="60">
        <v>2</v>
      </c>
      <c r="EA148" s="61">
        <f t="shared" si="35"/>
        <v>1</v>
      </c>
      <c r="EB148" s="61">
        <f t="shared" si="36"/>
        <v>1</v>
      </c>
      <c r="EC148" s="61">
        <f t="shared" si="26"/>
        <v>0</v>
      </c>
      <c r="ED148" s="386">
        <f t="shared" si="27"/>
        <v>0</v>
      </c>
      <c r="EE148" s="386"/>
      <c r="EF148" s="60">
        <f t="shared" si="28"/>
        <v>0</v>
      </c>
      <c r="EG148" s="386">
        <f t="shared" si="29"/>
        <v>0</v>
      </c>
      <c r="EH148" s="386"/>
      <c r="EI148" s="60">
        <f t="shared" si="30"/>
        <v>0</v>
      </c>
      <c r="EJ148" s="60">
        <f t="shared" si="31"/>
        <v>0</v>
      </c>
      <c r="EK148" s="386">
        <f t="shared" si="32"/>
        <v>0</v>
      </c>
      <c r="EL148" s="386"/>
      <c r="EM148" s="60">
        <f t="shared" si="33"/>
        <v>0</v>
      </c>
      <c r="EN148" s="386">
        <f>EC148*9999</f>
        <v>0</v>
      </c>
      <c r="EO148" s="386"/>
      <c r="EP148" s="386">
        <f>IF(ER148&lt;&gt;0,EC148*ER148,0)</f>
        <v>0</v>
      </c>
      <c r="EQ148" s="386"/>
      <c r="ER148" s="385">
        <f t="shared" si="37"/>
        <v>0</v>
      </c>
      <c r="ES148" s="385"/>
      <c r="ET148" s="386">
        <f t="shared" si="34"/>
        <v>0</v>
      </c>
      <c r="EU148" s="386"/>
      <c r="EV148" s="82"/>
      <c r="EW148" s="82"/>
      <c r="EX148" s="82"/>
      <c r="EY148" s="82"/>
      <c r="EZ148" s="82"/>
      <c r="FA148" s="82"/>
      <c r="FB148" s="82"/>
      <c r="FC148" s="242"/>
      <c r="FD148" s="243"/>
      <c r="FE148" s="394">
        <f>DATE(FG142,FF142,FE142)+IF(WEEKDAY(DATE(FG142,FF142,FE142),2)=6,2,IF(WEEKDAY(DATE(FG142,FF142,FE142),2)=7,1,0))</f>
        <v>44165</v>
      </c>
      <c r="FF148" s="394"/>
      <c r="FG148" s="394"/>
      <c r="FH148" s="394"/>
      <c r="FI148" s="159" t="s">
        <v>68</v>
      </c>
      <c r="GB148" s="345" t="s">
        <v>96</v>
      </c>
      <c r="GC148" s="346" t="s">
        <v>97</v>
      </c>
      <c r="GD148" s="346">
        <f>DATEVALUE(CONCATENATE("06/01/",YEAR(GB149)))</f>
        <v>44202</v>
      </c>
      <c r="GE148" s="346">
        <f>DATEVALUE(CONCATENATE(GE147,"/",GE146,"/",YEAR(GB149)))+1</f>
        <v>44291</v>
      </c>
      <c r="GF148" s="346">
        <f>DATEVALUE(CONCATENATE("25/04/",YEAR(GB149)))</f>
        <v>44311</v>
      </c>
      <c r="GG148" s="346">
        <f>DATEVALUE(CONCATENATE("01/05/",YEAR(GB149)))</f>
        <v>44317</v>
      </c>
      <c r="GH148" s="346">
        <f>DATEVALUE(CONCATENATE("02/06/",YEAR(GB149)))</f>
        <v>44349</v>
      </c>
      <c r="GI148" s="346">
        <f>DATEVALUE(CONCATENATE("15/08/",YEAR(GB149)))</f>
        <v>44423</v>
      </c>
      <c r="GJ148" s="346">
        <f>DATEVALUE(CONCATENATE("01/11/",YEAR(GB149)))</f>
        <v>44501</v>
      </c>
      <c r="GK148" s="346">
        <f>DATEVALUE(CONCATENATE("08/12/",YEAR(GB149)))</f>
        <v>44538</v>
      </c>
      <c r="GL148" s="346">
        <f>DATEVALUE(CONCATENATE("25/12/",YEAR(GB149)))</f>
        <v>44555</v>
      </c>
      <c r="GM148" s="346">
        <f>DATEVALUE(CONCATENATE("01/01/",YEAR(GB149)+1))</f>
        <v>44562</v>
      </c>
      <c r="GN148" s="346">
        <f>DATEVALUE(CONCATENATE("06/01/",YEAR(GB149)+1))</f>
        <v>44567</v>
      </c>
      <c r="GO148" s="346" t="s">
        <v>97</v>
      </c>
      <c r="GP148" s="346" t="s">
        <v>98</v>
      </c>
      <c r="GQ148" s="347"/>
    </row>
    <row r="149" spans="1:199" s="5" customFormat="1" ht="12" hidden="1">
      <c r="A149" s="156">
        <f t="shared" si="0"/>
        <v>1</v>
      </c>
      <c r="E149" s="197"/>
      <c r="F149" s="197"/>
      <c r="G149" s="197"/>
      <c r="H149" s="197"/>
      <c r="I149" s="197"/>
      <c r="J149" s="197"/>
      <c r="K149" s="197"/>
      <c r="L149" s="197"/>
      <c r="M149" s="69"/>
      <c r="N149" s="69"/>
      <c r="O149" s="69"/>
      <c r="P149" s="69"/>
      <c r="Q149" s="69"/>
      <c r="R149" s="197"/>
      <c r="S149" s="197"/>
      <c r="T149" s="197"/>
      <c r="U149" s="197"/>
      <c r="V149" s="197"/>
      <c r="W149" s="197"/>
      <c r="X149" s="197"/>
      <c r="Y149" s="197"/>
      <c r="Z149" s="197"/>
      <c r="AA149" s="198"/>
      <c r="AB149" s="199"/>
      <c r="AC149" s="536">
        <f>CONCATENATE(AC141,AC142,AC143,AC144,AC145,AC146,AC147,AC148)</f>
      </c>
      <c r="AD149" s="536"/>
      <c r="AE149" s="536"/>
      <c r="AF149" s="182"/>
      <c r="AG149" s="182"/>
      <c r="AH149" s="182"/>
      <c r="AI149" s="198"/>
      <c r="AJ149" s="199"/>
      <c r="AK149" s="199"/>
      <c r="AL149" s="423">
        <f>(AL141*AI141+AL143*AI143)/10</f>
        <v>0</v>
      </c>
      <c r="AM149" s="424"/>
      <c r="AN149" s="200"/>
      <c r="AO149" s="200"/>
      <c r="AP149" s="418">
        <f>(AP141*AI141+AP143*AI143)*1/15</f>
        <v>0</v>
      </c>
      <c r="AQ149" s="419"/>
      <c r="AR149" s="576">
        <f>SUM(AR141:AT148)</f>
        <v>0</v>
      </c>
      <c r="AS149" s="577"/>
      <c r="AT149" s="578"/>
      <c r="AU149" s="198"/>
      <c r="AV149" s="199"/>
      <c r="AW149" s="199"/>
      <c r="AX149" s="414">
        <f>AX141*AU141+AX142*AU142+AX143*AU143+AX144*AU144+AX145*AU145+AX146*AU146</f>
        <v>0</v>
      </c>
      <c r="AY149" s="415"/>
      <c r="AZ149" s="418">
        <f>AZ141*AU141+AZ142*AU142+AZ143*AU143+AZ144*AU144+AZ145*AU145+AZ146*AU146</f>
        <v>0</v>
      </c>
      <c r="BA149" s="419"/>
      <c r="BB149" s="425">
        <f>BB141*AU141+BB142*AU142+BB143*AU143+BB144*AU144+BB145*AU145+BB146*AU146</f>
        <v>0</v>
      </c>
      <c r="BC149" s="426"/>
      <c r="BD149" s="427"/>
      <c r="BE149" s="581">
        <f>SUM(BE141:BG148)</f>
        <v>0</v>
      </c>
      <c r="BF149" s="582"/>
      <c r="BG149" s="583"/>
      <c r="BH149" s="198"/>
      <c r="BI149" s="198"/>
      <c r="BJ149" s="198"/>
      <c r="BK149" s="414">
        <f>BK141*BH141+BK143*BH143+BK144*BH144+BK145*BH145+BK146*BH146</f>
        <v>0</v>
      </c>
      <c r="BL149" s="415"/>
      <c r="BM149" s="418">
        <f>BM141*BH141+BM143*BH143+BM144*BH144+BM145*BH145+BM146*BH146</f>
        <v>0</v>
      </c>
      <c r="BN149" s="419"/>
      <c r="BO149" s="425">
        <f>BO141*BH141+BO142*BH142+BO143*BH143+BO144*BH144+BO145*BH145+BO146*BH146</f>
        <v>0</v>
      </c>
      <c r="BP149" s="426"/>
      <c r="BQ149" s="427"/>
      <c r="BR149" s="420">
        <f>SUM(BR141:BT148)</f>
        <v>0</v>
      </c>
      <c r="BS149" s="421"/>
      <c r="BT149" s="422"/>
      <c r="BU149" s="198"/>
      <c r="BV149" s="414">
        <f>BV141*BU141+BV142*BU142+BV143*BU143+BV144*BU144+BV145*BU145+BV146*BU146+BV147*BU147+BV148*BU148</f>
        <v>0</v>
      </c>
      <c r="BW149" s="415"/>
      <c r="BX149" s="418">
        <f>BX141*BU141+BX142*BU142+BX143*BU143+BX144*BU144+BX145*BU145+BX146*BU146+BX147*BU147+BX148*BU148</f>
        <v>0</v>
      </c>
      <c r="BY149" s="419"/>
      <c r="BZ149" s="425">
        <f>BZ141*BU141+BZ142*BU142+BZ143*BU143+BZ144*BU144+BZ145*BU145+BZ146*BU146+BZ147*BU147+BZ148*BU148</f>
        <v>0</v>
      </c>
      <c r="CA149" s="426"/>
      <c r="CB149" s="427"/>
      <c r="CC149" s="416">
        <f>SUM(CC141:CE148)</f>
        <v>0</v>
      </c>
      <c r="CD149" s="402"/>
      <c r="CE149" s="417"/>
      <c r="CF149" s="198"/>
      <c r="CG149" s="414">
        <f>CG141*CF141+CG142*CF142+CG143*CF143+CG144*CF144+CG145*CF145+CG146*CF146+CG147*CF147+CG148*CF148</f>
        <v>0</v>
      </c>
      <c r="CH149" s="415"/>
      <c r="CI149" s="418">
        <f>CI141*CF141+CI142*CF142+CI143*CF143+CI144*CF144+CI145*CF145+CI146*CF146+CI147*CF147+CI148*CF148</f>
        <v>0</v>
      </c>
      <c r="CJ149" s="419"/>
      <c r="CK149" s="425">
        <f>CK141*CF141+CK142*CF142+CK143*CF143+CK144*CF144+CK145*CF145+CK146*CF146+CK147*CF147+CK148*CF148</f>
        <v>0</v>
      </c>
      <c r="CL149" s="426"/>
      <c r="CM149" s="427"/>
      <c r="CN149" s="476">
        <f>SUM(CN141:CP148)</f>
        <v>0</v>
      </c>
      <c r="CO149" s="405"/>
      <c r="CP149" s="477"/>
      <c r="CQ149" s="198"/>
      <c r="CR149" s="414">
        <f>CR141*CQ141+CR142*CQ142+CR143*CQ143+CR144*CQ144+CR145*CQ145+CR146*CQ146+CR147*CQ147+CR148*CQ148</f>
        <v>0</v>
      </c>
      <c r="CS149" s="415"/>
      <c r="CT149" s="418">
        <f>CT141*CQ141+CT142*CQ142+CT143*CQ143+CT144*CQ144+CT145*CQ145+CT146*CQ146+CT147*CQ147+CT148*CQ148</f>
        <v>0</v>
      </c>
      <c r="CU149" s="419"/>
      <c r="CV149" s="425">
        <f>CV141*CQ141+CV142*CQ142+CV143*CQ143+CV144*CQ144+CV145*CQ145+CV146*CQ146+CV147*CQ147+CV148*CQ148</f>
        <v>0</v>
      </c>
      <c r="CW149" s="426"/>
      <c r="CX149" s="427"/>
      <c r="CY149" s="476">
        <f>SUM(CY141:DA148)</f>
        <v>0</v>
      </c>
      <c r="CZ149" s="405"/>
      <c r="DA149" s="477"/>
      <c r="DD149" s="59" t="s">
        <v>131</v>
      </c>
      <c r="DE149" s="59"/>
      <c r="DF149" s="59"/>
      <c r="DG149" s="59"/>
      <c r="DH149" s="59"/>
      <c r="DI149" s="59"/>
      <c r="DJ149" s="59"/>
      <c r="DK149" s="59"/>
      <c r="DL149" s="59"/>
      <c r="DM149" s="59"/>
      <c r="DN149" s="59"/>
      <c r="DO149" s="59"/>
      <c r="DP149" s="59"/>
      <c r="DQ149" s="386" t="str">
        <f t="shared" si="25"/>
        <v>4034</v>
      </c>
      <c r="DR149" s="386"/>
      <c r="DS149" s="60">
        <v>2</v>
      </c>
      <c r="DT149" s="386">
        <v>8901</v>
      </c>
      <c r="DU149" s="386"/>
      <c r="DV149" s="60">
        <v>1</v>
      </c>
      <c r="DW149" s="60">
        <v>2</v>
      </c>
      <c r="DX149" s="386">
        <v>1989</v>
      </c>
      <c r="DY149" s="386"/>
      <c r="DZ149" s="60">
        <v>2</v>
      </c>
      <c r="EA149" s="61">
        <f t="shared" si="35"/>
        <v>1</v>
      </c>
      <c r="EB149" s="61">
        <f t="shared" si="36"/>
        <v>1</v>
      </c>
      <c r="EC149" s="61">
        <f t="shared" si="26"/>
        <v>0</v>
      </c>
      <c r="ED149" s="386">
        <f t="shared" si="27"/>
        <v>0</v>
      </c>
      <c r="EE149" s="386"/>
      <c r="EF149" s="60">
        <f t="shared" si="28"/>
        <v>0</v>
      </c>
      <c r="EG149" s="386">
        <f t="shared" si="29"/>
        <v>0</v>
      </c>
      <c r="EH149" s="386"/>
      <c r="EI149" s="60">
        <f t="shared" si="30"/>
        <v>0</v>
      </c>
      <c r="EJ149" s="60">
        <f t="shared" si="31"/>
        <v>0</v>
      </c>
      <c r="EK149" s="386">
        <f t="shared" si="32"/>
        <v>0</v>
      </c>
      <c r="EL149" s="386"/>
      <c r="EM149" s="60">
        <f t="shared" si="33"/>
        <v>0</v>
      </c>
      <c r="EN149" s="386"/>
      <c r="EO149" s="386"/>
      <c r="EP149" s="386">
        <f>IF(ER149&lt;&gt;0,EC149*ER149,0)</f>
        <v>0</v>
      </c>
      <c r="EQ149" s="386"/>
      <c r="ER149" s="385">
        <f t="shared" si="37"/>
        <v>0</v>
      </c>
      <c r="ES149" s="385"/>
      <c r="ET149" s="386">
        <f t="shared" si="34"/>
        <v>0</v>
      </c>
      <c r="EU149" s="386"/>
      <c r="EV149" s="82"/>
      <c r="EW149" s="82"/>
      <c r="EX149" s="82"/>
      <c r="EY149" s="82"/>
      <c r="EZ149" s="82"/>
      <c r="FA149" s="82"/>
      <c r="FB149" s="82"/>
      <c r="FC149" s="242"/>
      <c r="FD149" s="243"/>
      <c r="FE149" s="394">
        <f>GP149</f>
        <v>44256</v>
      </c>
      <c r="FF149" s="394"/>
      <c r="FG149" s="394"/>
      <c r="FH149" s="394"/>
      <c r="FI149" s="159" t="s">
        <v>132</v>
      </c>
      <c r="GB149" s="348">
        <f>FE148+90</f>
        <v>44255</v>
      </c>
      <c r="GC149" s="349">
        <f>IF(WEEKDAY(GB149,2)=6,2,IF(WEEKDAY(GB149,2)=7,1,0))</f>
        <v>1</v>
      </c>
      <c r="GD149" s="349">
        <f>IF(GB149+GC149=GD148,1,0)</f>
        <v>0</v>
      </c>
      <c r="GE149" s="349">
        <f>IF(GB149+GC149=GE148,1,0)</f>
        <v>0</v>
      </c>
      <c r="GF149" s="349">
        <f>IF(GB149+GC149=GF148,1,0)</f>
        <v>0</v>
      </c>
      <c r="GG149" s="349">
        <f>IF(GB149+GC149=GG148,1,0)</f>
        <v>0</v>
      </c>
      <c r="GH149" s="349">
        <f>IF(GB149+GC149=GH148,1,0)</f>
        <v>0</v>
      </c>
      <c r="GI149" s="349">
        <f>IF(GB149+GC149=GI148,1,0)</f>
        <v>0</v>
      </c>
      <c r="GJ149" s="349">
        <f>IF(GB149+GC149=GJ148,1,0)</f>
        <v>0</v>
      </c>
      <c r="GK149" s="349">
        <f>IF(GB149+GC149=GK148,1,0)</f>
        <v>0</v>
      </c>
      <c r="GL149" s="349">
        <f>IF(GB149+GC149=GL148,2,IF(GB149+GC149=GL148+1,1,0))</f>
        <v>0</v>
      </c>
      <c r="GM149" s="349">
        <f>IF(GB149+GC149=GM148,1,0)</f>
        <v>0</v>
      </c>
      <c r="GN149" s="349">
        <f>IF(GB149+GC149=GN148,1,0)</f>
        <v>0</v>
      </c>
      <c r="GO149" s="349">
        <f>IF(WEEKDAY(GB149+SUM(GC149:GN149),2)=6,2,IF(WEEKDAY(GB149+SUM(GC149:GN149),2)=7,1,0))</f>
        <v>0</v>
      </c>
      <c r="GP149" s="350">
        <f>SUM(GB149:GO149)</f>
        <v>44256</v>
      </c>
      <c r="GQ149" s="351">
        <f>GP149-GB149</f>
        <v>1</v>
      </c>
    </row>
    <row r="150" spans="1:160" s="5" customFormat="1" ht="12" hidden="1">
      <c r="A150" s="156">
        <f t="shared" si="0"/>
        <v>1</v>
      </c>
      <c r="E150" s="201"/>
      <c r="F150" s="201"/>
      <c r="G150" s="201"/>
      <c r="H150" s="201"/>
      <c r="I150" s="201"/>
      <c r="J150" s="201"/>
      <c r="K150" s="201"/>
      <c r="L150" s="201"/>
      <c r="M150" s="201"/>
      <c r="N150" s="201"/>
      <c r="O150" s="201"/>
      <c r="P150" s="201"/>
      <c r="Q150" s="201"/>
      <c r="R150" s="201"/>
      <c r="S150" s="201"/>
      <c r="T150" s="201"/>
      <c r="U150" s="201"/>
      <c r="V150" s="197"/>
      <c r="W150" s="197"/>
      <c r="X150" s="197"/>
      <c r="Y150" s="201"/>
      <c r="Z150" s="201"/>
      <c r="AA150" s="198"/>
      <c r="AB150" s="199"/>
      <c r="AC150" s="199"/>
      <c r="AD150" s="199"/>
      <c r="AE150" s="199"/>
      <c r="AF150" s="182"/>
      <c r="AG150" s="182"/>
      <c r="AH150" s="182"/>
      <c r="AI150" s="145">
        <f>SUM(AI141:AI146)</f>
        <v>0</v>
      </c>
      <c r="AJ150" s="217">
        <f>IF(AI150&gt;0,"(ravvedimento 'sprint' ex D.Lgs. 471/97, art. 13, c.1, 2° periodo) (*)","")</f>
      </c>
      <c r="AK150" s="211"/>
      <c r="AL150" s="211"/>
      <c r="AM150" s="211"/>
      <c r="AN150" s="212"/>
      <c r="AO150" s="212"/>
      <c r="AP150" s="211"/>
      <c r="AQ150" s="211"/>
      <c r="AR150" s="213"/>
      <c r="AS150" s="213"/>
      <c r="AT150" s="213"/>
      <c r="AU150" s="144">
        <f>SUM(AU141:AU146)</f>
        <v>0</v>
      </c>
      <c r="AV150" s="218">
        <f>IF((AU141+AU143+AU144+AU146)&gt;0,"Ravvedimento 'breve' ex D.Lgs. 472/97, art. 13, c. 1, lett. a) (*)",IF(AU145&gt;0,"Ravvedimento 'breve' ex D.Lgs. 472/97, art. 13, c. 1, lett. c) (*)",IF(AU142&gt;0,"Ravvedimento 'breve' ex Decreto 54/2005 MAP, art. 6, c. 1, lett. a) (*)","")))</f>
      </c>
      <c r="AW150" s="207"/>
      <c r="AX150" s="207"/>
      <c r="AY150" s="207"/>
      <c r="AZ150" s="214"/>
      <c r="BA150" s="214"/>
      <c r="BB150" s="214"/>
      <c r="BC150" s="214"/>
      <c r="BD150" s="214"/>
      <c r="BE150" s="208"/>
      <c r="BF150" s="208"/>
      <c r="BG150" s="208"/>
      <c r="BH150" s="143">
        <f>SUM(BH141:BH146)</f>
        <v>0</v>
      </c>
      <c r="BI150" s="221">
        <f>IF(BH141+BH143+BH144+BH146&gt;0,"Ravvedimento 'intermedio' ex D.Lgs. 472/97, art. 13, c.1, lett. a-bis) (*)",IF(BH145&gt;0,"Ravvedimento 'breve' ex D.Lgs. 472/97, art. 13, c. 1, lett. c) (*)",""))</f>
      </c>
      <c r="BJ150" s="221"/>
      <c r="BK150" s="221"/>
      <c r="BL150" s="221"/>
      <c r="BM150" s="209"/>
      <c r="BN150" s="209"/>
      <c r="BO150" s="209"/>
      <c r="BP150" s="209"/>
      <c r="BQ150" s="209"/>
      <c r="BR150" s="210"/>
      <c r="BS150" s="210"/>
      <c r="BT150" s="210"/>
      <c r="BU150" s="166">
        <f>SUM(BU141:BU148)</f>
        <v>0</v>
      </c>
      <c r="BV150" s="220">
        <f>IF((BU141+BU143+BU144+BU145+BU146+BU147+BU148)&gt;0,"Ravvedimento 'lungo' ex D.Lgs. 472/97, art. 13, c. 1, lett. b) (*)",IF(BU142&gt;0,"Ravvedimento 'lungo' ex Decreto 54/2005 MAP, art. 6, c. 1, lett. b) (*)",""))</f>
      </c>
      <c r="BW150" s="206"/>
      <c r="BX150" s="206"/>
      <c r="BY150" s="206"/>
      <c r="BZ150" s="206"/>
      <c r="CA150" s="206"/>
      <c r="CB150" s="206"/>
      <c r="CC150" s="205"/>
      <c r="CD150" s="205"/>
      <c r="CE150" s="205"/>
      <c r="CF150" s="167">
        <f>SUM(CF141:CF148)</f>
        <v>0</v>
      </c>
      <c r="CG150" s="222">
        <f>IF(CF150&gt;0,"Ravvedimento 'lunghissimo' ex D.Lgs. 472/97, art. 13, c.1, lett. b-bis) (*)","")</f>
      </c>
      <c r="CH150" s="215"/>
      <c r="CI150" s="215"/>
      <c r="CJ150" s="215"/>
      <c r="CK150" s="215"/>
      <c r="CL150" s="215"/>
      <c r="CM150" s="215"/>
      <c r="CN150" s="216"/>
      <c r="CO150" s="216"/>
      <c r="CP150" s="216"/>
      <c r="CQ150" s="167">
        <f>SUM(CQ141:CQ148)</f>
        <v>0</v>
      </c>
      <c r="CR150" s="222">
        <f>IF(CQ150&gt;0,"Ravvedimento 'lunghissimo' ex D.Lgs. 472/97, art. 13, c.1, lett. b-ter) (*)","")</f>
      </c>
      <c r="CS150" s="215"/>
      <c r="CT150" s="215"/>
      <c r="CU150" s="215"/>
      <c r="CV150" s="215"/>
      <c r="CW150" s="215"/>
      <c r="CX150" s="215"/>
      <c r="CY150" s="216"/>
      <c r="CZ150" s="216"/>
      <c r="DA150" s="216"/>
      <c r="DD150" s="59" t="s">
        <v>133</v>
      </c>
      <c r="DE150" s="59"/>
      <c r="DF150" s="59"/>
      <c r="DG150" s="59"/>
      <c r="DH150" s="59"/>
      <c r="DI150" s="59"/>
      <c r="DJ150" s="59"/>
      <c r="DK150" s="59"/>
      <c r="DL150" s="59"/>
      <c r="DM150" s="59"/>
      <c r="DN150" s="59"/>
      <c r="DO150" s="59"/>
      <c r="DP150" s="59"/>
      <c r="DQ150" s="386" t="str">
        <f t="shared" si="25"/>
        <v>3800</v>
      </c>
      <c r="DR150" s="386"/>
      <c r="DS150" s="60">
        <v>4</v>
      </c>
      <c r="DT150" s="386">
        <v>8907</v>
      </c>
      <c r="DU150" s="386"/>
      <c r="DV150" s="60">
        <v>1</v>
      </c>
      <c r="DW150" s="60">
        <v>4</v>
      </c>
      <c r="DX150" s="386">
        <v>1993</v>
      </c>
      <c r="DY150" s="386"/>
      <c r="DZ150" s="60">
        <v>4</v>
      </c>
      <c r="EA150" s="61">
        <f t="shared" si="35"/>
        <v>1</v>
      </c>
      <c r="EB150" s="61">
        <f t="shared" si="36"/>
        <v>1</v>
      </c>
      <c r="EC150" s="61">
        <f t="shared" si="26"/>
        <v>0</v>
      </c>
      <c r="ED150" s="386">
        <f t="shared" si="27"/>
        <v>0</v>
      </c>
      <c r="EE150" s="386"/>
      <c r="EF150" s="60">
        <f t="shared" si="28"/>
        <v>0</v>
      </c>
      <c r="EG150" s="386">
        <f t="shared" si="29"/>
        <v>0</v>
      </c>
      <c r="EH150" s="386"/>
      <c r="EI150" s="60">
        <f t="shared" si="30"/>
        <v>0</v>
      </c>
      <c r="EJ150" s="60">
        <f t="shared" si="31"/>
        <v>0</v>
      </c>
      <c r="EK150" s="386">
        <f t="shared" si="32"/>
        <v>0</v>
      </c>
      <c r="EL150" s="386"/>
      <c r="EM150" s="60">
        <f t="shared" si="33"/>
        <v>0</v>
      </c>
      <c r="EN150" s="386">
        <f>EC150*9999</f>
        <v>0</v>
      </c>
      <c r="EO150" s="386"/>
      <c r="EP150" s="386">
        <f>IF(ER150&lt;&gt;0,EC150*(ER150-1),0)</f>
        <v>0</v>
      </c>
      <c r="EQ150" s="386"/>
      <c r="ER150" s="385">
        <f t="shared" si="37"/>
        <v>0</v>
      </c>
      <c r="ES150" s="385"/>
      <c r="ET150" s="386">
        <f t="shared" si="34"/>
        <v>0</v>
      </c>
      <c r="EU150" s="386"/>
      <c r="EV150" s="82"/>
      <c r="EW150" s="82"/>
      <c r="EX150" s="82"/>
      <c r="EY150" s="82"/>
      <c r="EZ150" s="82"/>
      <c r="FA150" s="82"/>
      <c r="FB150" s="82"/>
      <c r="FC150" s="242"/>
      <c r="FD150" s="243"/>
    </row>
    <row r="151" spans="1:160" s="5" customFormat="1" ht="12" hidden="1">
      <c r="A151" s="156">
        <f t="shared" si="0"/>
        <v>1</v>
      </c>
      <c r="E151" s="201"/>
      <c r="F151" s="201"/>
      <c r="G151" s="201"/>
      <c r="H151" s="201"/>
      <c r="I151" s="201"/>
      <c r="J151" s="201"/>
      <c r="K151" s="201"/>
      <c r="L151" s="201"/>
      <c r="M151" s="203"/>
      <c r="N151" s="203"/>
      <c r="O151" s="203"/>
      <c r="P151" s="203"/>
      <c r="Q151" s="203"/>
      <c r="R151" s="203"/>
      <c r="S151" s="203"/>
      <c r="X151" s="447" t="s">
        <v>134</v>
      </c>
      <c r="Y151" s="447"/>
      <c r="Z151" s="447"/>
      <c r="AA151" s="447" t="s">
        <v>123</v>
      </c>
      <c r="AB151" s="447"/>
      <c r="AC151" s="447"/>
      <c r="AD151" s="447" t="s">
        <v>135</v>
      </c>
      <c r="AE151" s="447"/>
      <c r="AF151" s="447"/>
      <c r="AI151" s="145" t="s">
        <v>14</v>
      </c>
      <c r="AJ151" s="217">
        <f>IF(AI150&gt;0,"(*) « Per i versamenti effettuati con un ritardo non superiore a quindici giorni, la sanzione è ulteriormente ridotta ad un importo pari ad un quindicesimo per ciascun giorno di ritardo. »","")</f>
      </c>
      <c r="AK151" s="85"/>
      <c r="AL151" s="85"/>
      <c r="AM151" s="85"/>
      <c r="AN151" s="85"/>
      <c r="AO151" s="85"/>
      <c r="AP151" s="85"/>
      <c r="AQ151" s="85"/>
      <c r="AR151" s="85"/>
      <c r="AS151" s="85"/>
      <c r="AT151" s="85"/>
      <c r="AU151" s="144" t="s">
        <v>14</v>
      </c>
      <c r="AV151" s="218">
        <f>IF((AU141+AU143+AU144+AU146)&gt;0,"(*) « La sanzione è ridotta ad un decimo del minimo nei casi di mancato pagamento del tributo o di un acconto, se esso viene eseguito nel termine di trenta giorni dalla data della sua commissione. »",IF(AU145&gt;0,"(*) « La sanzione è ridotta ad un decimo del minimo di quella prevista per l’omissione della presentazione della dichiarazione, se questa viene presentata con ritardo non superiore a novanta giorni. ",IF(AU146&gt;0,"(*) « La sanzione è ridotta ad un decimo del minimo nei casi di mancato pagamento del tributo o di un acconto, se esso viene eseguito nel termine di trenta giorni dalla data della sua commissione. »",IF(AU142&gt;0,"(*) « La sanzione è ridotta ad  un ottavo della sanzione prevista dall'articolo 4, comma 3 del presente regolamento, se il pagamento viene eseguito entro trenta giorni dalla scadenza del termine di cui all'articolo 3, comma 1. »",""))))</f>
      </c>
      <c r="AW151" s="207"/>
      <c r="AX151" s="207"/>
      <c r="AY151" s="207"/>
      <c r="AZ151" s="219"/>
      <c r="BA151" s="219"/>
      <c r="BB151" s="219"/>
      <c r="BC151" s="219"/>
      <c r="BD151" s="219"/>
      <c r="BE151" s="208"/>
      <c r="BF151" s="208"/>
      <c r="BG151" s="208"/>
      <c r="BH151" s="143" t="s">
        <v>14</v>
      </c>
      <c r="BI151" s="221">
        <f>IF(BH141+BH143+BH144+BH146&gt;0,"(*) « La sanzione è ridotta ad un nono del minimo se la regolarizzazione degli errori e delle omissioni, anche se incidenti sulla determinazione o sul pagamento del tributo, avviene entro novanta giorni dalla data dell'omissione o dell'errore",IF(BH145&gt;0,"(*) « La sanzione è ridotta ad un decimo del minimo di quella prevista per l’omissione della presentazione della dichiarazione, se questa viene presentata con ritardo non superiore a novanta giorni. ",""))</f>
      </c>
      <c r="BJ151" s="221"/>
      <c r="BK151" s="221"/>
      <c r="BL151" s="221"/>
      <c r="BM151" s="209"/>
      <c r="BN151" s="209"/>
      <c r="BO151" s="209"/>
      <c r="BP151" s="209"/>
      <c r="BQ151" s="209"/>
      <c r="BR151" s="210"/>
      <c r="BS151" s="210"/>
      <c r="BT151" s="210"/>
      <c r="BU151" s="166" t="s">
        <v>14</v>
      </c>
      <c r="BV151" s="220">
        <f>IF((BU141+BU143+BU144+BU145+BU146+BU147+BU148)&gt;0,"(*) « La sanzione è ridotta ad un ottavo del minimo, se la regolarizzazione degli errori e delle omissioni, anche se incidenti sulla determinazione o sul pagamento del tributo, avviene entro il termine per la presentazione ",IF(BU142&gt;0,"(*) « La sanzione è ridotta ad un quinto della sanzione prevista dall'articolo 4, comma 3 del presente regolamento, se il pagamento viene eseguito entro un anno dalla scadenza del termine di pagamento di cui all'articolo 3, comma 1. »",""))</f>
      </c>
      <c r="BW151" s="206"/>
      <c r="BX151" s="206"/>
      <c r="BY151" s="206"/>
      <c r="BZ151" s="206"/>
      <c r="CA151" s="206"/>
      <c r="CB151" s="206"/>
      <c r="CC151" s="205"/>
      <c r="CD151" s="205"/>
      <c r="CE151" s="205"/>
      <c r="CF151" s="167" t="s">
        <v>14</v>
      </c>
      <c r="CG151" s="222">
        <f>IF(CF150&gt;0,"(*) « La sanzione è ridotta ad un settimo del minimo se la regolarizzazione degli errori e delle omissioni, anche se incidenti sulla determinazione o sul pagamento del tributo, avviene entro il termine per la presentazione ","")</f>
      </c>
      <c r="CH151" s="215"/>
      <c r="CI151" s="215"/>
      <c r="CJ151" s="215"/>
      <c r="CK151" s="215"/>
      <c r="CL151" s="215"/>
      <c r="CM151" s="215"/>
      <c r="CN151" s="216"/>
      <c r="CO151" s="216"/>
      <c r="CP151" s="216"/>
      <c r="CQ151" s="167"/>
      <c r="CR151" s="222">
        <f>IF(CQ150&gt;0,"(*) « La sanzione è ridotta ad un sesto del minimo se la regolarizzazione degli errori e delle omissioni, anche incidenti sulla determinazione o sul pagamento del tributo, avviene oltre il termine per la presentazione ","")</f>
      </c>
      <c r="CS151" s="215"/>
      <c r="CT151" s="215"/>
      <c r="CU151" s="215"/>
      <c r="CV151" s="215"/>
      <c r="CW151" s="215"/>
      <c r="CX151" s="215"/>
      <c r="CY151" s="216"/>
      <c r="CZ151" s="216"/>
      <c r="DA151" s="216"/>
      <c r="DD151" s="59" t="s">
        <v>136</v>
      </c>
      <c r="DE151" s="59"/>
      <c r="DF151" s="59"/>
      <c r="DG151" s="59"/>
      <c r="DH151" s="59"/>
      <c r="DI151" s="59"/>
      <c r="DJ151" s="59"/>
      <c r="DK151" s="59"/>
      <c r="DL151" s="59"/>
      <c r="DM151" s="59"/>
      <c r="DN151" s="59"/>
      <c r="DO151" s="59"/>
      <c r="DP151" s="59"/>
      <c r="DQ151" s="386" t="str">
        <f t="shared" si="25"/>
        <v>3812</v>
      </c>
      <c r="DR151" s="386"/>
      <c r="DS151" s="60">
        <v>4</v>
      </c>
      <c r="DT151" s="386">
        <v>8907</v>
      </c>
      <c r="DU151" s="386"/>
      <c r="DV151" s="60">
        <v>1</v>
      </c>
      <c r="DW151" s="60">
        <v>4</v>
      </c>
      <c r="DX151" s="386">
        <v>1993</v>
      </c>
      <c r="DY151" s="386"/>
      <c r="DZ151" s="60">
        <v>4</v>
      </c>
      <c r="EA151" s="61">
        <f t="shared" si="35"/>
        <v>1</v>
      </c>
      <c r="EB151" s="61">
        <f t="shared" si="36"/>
        <v>1</v>
      </c>
      <c r="EC151" s="61">
        <f t="shared" si="26"/>
        <v>0</v>
      </c>
      <c r="ED151" s="386">
        <f t="shared" si="27"/>
        <v>0</v>
      </c>
      <c r="EE151" s="386"/>
      <c r="EF151" s="60">
        <f t="shared" si="28"/>
        <v>0</v>
      </c>
      <c r="EG151" s="386">
        <f t="shared" si="29"/>
        <v>0</v>
      </c>
      <c r="EH151" s="386"/>
      <c r="EI151" s="60">
        <f t="shared" si="30"/>
        <v>0</v>
      </c>
      <c r="EJ151" s="60">
        <f t="shared" si="31"/>
        <v>0</v>
      </c>
      <c r="EK151" s="386">
        <f t="shared" si="32"/>
        <v>0</v>
      </c>
      <c r="EL151" s="386"/>
      <c r="EM151" s="60">
        <f t="shared" si="33"/>
        <v>0</v>
      </c>
      <c r="EN151" s="386">
        <f>EC151*9999</f>
        <v>0</v>
      </c>
      <c r="EO151" s="386"/>
      <c r="EP151" s="386">
        <f>IF(ER151&lt;&gt;0,EC151*ER151,0)</f>
        <v>0</v>
      </c>
      <c r="EQ151" s="386"/>
      <c r="ER151" s="385">
        <f t="shared" si="37"/>
        <v>0</v>
      </c>
      <c r="ES151" s="385"/>
      <c r="ET151" s="386">
        <f t="shared" si="34"/>
        <v>0</v>
      </c>
      <c r="EU151" s="386"/>
      <c r="EV151" s="82"/>
      <c r="EW151" s="82"/>
      <c r="EX151" s="82"/>
      <c r="EY151" s="82"/>
      <c r="EZ151" s="82"/>
      <c r="FA151" s="82"/>
      <c r="FB151" s="82"/>
      <c r="FC151" s="242"/>
      <c r="FD151" s="243"/>
    </row>
    <row r="152" spans="1:160" s="5" customFormat="1" ht="12" hidden="1">
      <c r="A152" s="156">
        <f t="shared" si="0"/>
        <v>1</v>
      </c>
      <c r="E152" s="201"/>
      <c r="F152" s="201"/>
      <c r="G152" s="201"/>
      <c r="H152" s="201"/>
      <c r="I152" s="201"/>
      <c r="J152" s="201"/>
      <c r="K152" s="201"/>
      <c r="L152" s="201"/>
      <c r="M152" s="203"/>
      <c r="N152" s="203"/>
      <c r="O152" s="203"/>
      <c r="P152" s="203"/>
      <c r="Q152" s="203"/>
      <c r="R152" s="203"/>
      <c r="S152" s="203"/>
      <c r="X152" s="533">
        <f>BB149+BO149+BZ149+CK149+CV149</f>
        <v>0</v>
      </c>
      <c r="Y152" s="534"/>
      <c r="Z152" s="535"/>
      <c r="AA152" s="533">
        <f>X152*P154</f>
        <v>0</v>
      </c>
      <c r="AB152" s="534"/>
      <c r="AC152" s="535"/>
      <c r="AD152" s="533">
        <f>TRUNC(AA152,0)</f>
        <v>0</v>
      </c>
      <c r="AE152" s="534"/>
      <c r="AF152" s="535"/>
      <c r="AG152" s="151">
        <f>IF(AA152&gt;AD154,1,0)</f>
        <v>0</v>
      </c>
      <c r="AU152" s="144"/>
      <c r="AV152" s="218">
        <f>IF(AU145&gt;0,"Inoltre, se la richiesta di registrazione è effettuata con ritardo non superiore a 30 giorni, si applica la sanzione minima del 60% dell'imposta dovuta, in luogo del 120%, con un minimo di euro 200 »",IF(AU146&gt;0," (Nel caso di tassa sulle concessioni governative la sanzione minima è pari al 100% dell'imposta dovuta, con un minimo di euro 103)",""))</f>
      </c>
      <c r="AW152" s="207"/>
      <c r="AX152" s="207"/>
      <c r="AY152" s="207"/>
      <c r="AZ152" s="219"/>
      <c r="BA152" s="219"/>
      <c r="BB152" s="219"/>
      <c r="BC152" s="219"/>
      <c r="BD152" s="219"/>
      <c r="BE152" s="208"/>
      <c r="BF152" s="208"/>
      <c r="BG152" s="208"/>
      <c r="BH152" s="143" t="s">
        <v>14</v>
      </c>
      <c r="BI152" s="221">
        <f>IF(BH141+BH143+BH144&gt;0,", ovvero se la regolarizzazione delle omissioni e degli errori commessi in dichiarazione avviene entro novanta giorni dal termine per la presentazione della dichiarazione in cui l'omissione o l'errore e' stato commesso. »",IF(BH145&gt;0,"Se la richiesta di registrazione è effettuata con ritardo superiore a 30 giorni, si applica la sanzione minima del 120% dell'imposta dovuta »",IF(BH146&gt;0,". Nel caso di tassa sulle concessioni governative la sanzione minima è pari al 100% dell'imposta dovuta, con un minimo di euro 103 »","")))</f>
      </c>
      <c r="BJ152" s="221"/>
      <c r="BK152" s="221"/>
      <c r="BL152" s="221"/>
      <c r="BM152" s="209"/>
      <c r="BN152" s="209"/>
      <c r="BO152" s="209"/>
      <c r="BP152" s="209"/>
      <c r="BQ152" s="209"/>
      <c r="BR152" s="210"/>
      <c r="BS152" s="210"/>
      <c r="BT152" s="210"/>
      <c r="BU152" s="166" t="s">
        <v>14</v>
      </c>
      <c r="BV152" s="220">
        <f>IF((BU141+BU143+BU144+BU145+BU146+BU147+BU148)&gt;0,CONCATENATE("della dichiarazione relativa all’anno nel corso del quale è stata commessa la violazione ovvero, quando non è prevista dichiarazione periodica, entro un anno dall’omissione o dall’errore. ",IF(BU146&gt;0,"Nel caso di cc.gg. la sanzione minima è del 100%, con un importo minimo di euro 103. »","»"),""),"")</f>
      </c>
      <c r="BW152" s="206"/>
      <c r="BX152" s="206"/>
      <c r="BY152" s="206"/>
      <c r="BZ152" s="206"/>
      <c r="CA152" s="206"/>
      <c r="CB152" s="206"/>
      <c r="CC152" s="205"/>
      <c r="CD152" s="205"/>
      <c r="CE152" s="205"/>
      <c r="CF152" s="167"/>
      <c r="CG152" s="222">
        <f>IF(CF150&gt;0,"della dichiarazione relativa all’anno successivo a quello nel corso del quale è stata commessa la violazione ovvero, quando non è prevista dichiarazione periodica, entro due anni dall’omissione o dall’errore. »","")</f>
      </c>
      <c r="CH152" s="215"/>
      <c r="CI152" s="215"/>
      <c r="CJ152" s="215"/>
      <c r="CK152" s="215"/>
      <c r="CL152" s="215"/>
      <c r="CM152" s="215"/>
      <c r="CN152" s="216"/>
      <c r="CO152" s="216"/>
      <c r="CP152" s="216"/>
      <c r="CQ152" s="167"/>
      <c r="CR152" s="222">
        <f>IF(CQ150&gt;0,"della dichiarazione relativa all’anno successivo a quello nel corso del quale è stata commessa la violazione ovvero, quando non è prevista dichiarazione periodica, oltre due anni dall’omissione o dall’errore. »","")</f>
      </c>
      <c r="CS152" s="215"/>
      <c r="CT152" s="215"/>
      <c r="CU152" s="215"/>
      <c r="CV152" s="215"/>
      <c r="CW152" s="215"/>
      <c r="CX152" s="215"/>
      <c r="CY152" s="216"/>
      <c r="CZ152" s="216"/>
      <c r="DA152" s="216"/>
      <c r="DD152" s="59" t="s">
        <v>137</v>
      </c>
      <c r="DE152" s="59"/>
      <c r="DF152" s="59"/>
      <c r="DG152" s="59"/>
      <c r="DH152" s="59"/>
      <c r="DI152" s="59"/>
      <c r="DJ152" s="59"/>
      <c r="DK152" s="59"/>
      <c r="DL152" s="59"/>
      <c r="DM152" s="59"/>
      <c r="DN152" s="59"/>
      <c r="DO152" s="59"/>
      <c r="DP152" s="59"/>
      <c r="DQ152" s="386" t="str">
        <f t="shared" si="25"/>
        <v>3813</v>
      </c>
      <c r="DR152" s="386"/>
      <c r="DS152" s="60">
        <v>4</v>
      </c>
      <c r="DT152" s="386">
        <v>8907</v>
      </c>
      <c r="DU152" s="386"/>
      <c r="DV152" s="60">
        <v>1</v>
      </c>
      <c r="DW152" s="60">
        <v>4</v>
      </c>
      <c r="DX152" s="386">
        <v>1993</v>
      </c>
      <c r="DY152" s="386"/>
      <c r="DZ152" s="60">
        <v>4</v>
      </c>
      <c r="EA152" s="61">
        <f t="shared" si="35"/>
        <v>1</v>
      </c>
      <c r="EB152" s="61">
        <f t="shared" si="36"/>
        <v>1</v>
      </c>
      <c r="EC152" s="61">
        <f t="shared" si="26"/>
        <v>0</v>
      </c>
      <c r="ED152" s="386">
        <f t="shared" si="27"/>
        <v>0</v>
      </c>
      <c r="EE152" s="386"/>
      <c r="EF152" s="60">
        <f t="shared" si="28"/>
        <v>0</v>
      </c>
      <c r="EG152" s="386">
        <f t="shared" si="29"/>
        <v>0</v>
      </c>
      <c r="EH152" s="386"/>
      <c r="EI152" s="60">
        <f t="shared" si="30"/>
        <v>0</v>
      </c>
      <c r="EJ152" s="60">
        <f t="shared" si="31"/>
        <v>0</v>
      </c>
      <c r="EK152" s="386">
        <f t="shared" si="32"/>
        <v>0</v>
      </c>
      <c r="EL152" s="386"/>
      <c r="EM152" s="60">
        <f t="shared" si="33"/>
        <v>0</v>
      </c>
      <c r="EN152" s="386"/>
      <c r="EO152" s="386"/>
      <c r="EP152" s="386">
        <f>IF(ER152&lt;&gt;0,EC152*ER152,0)</f>
        <v>0</v>
      </c>
      <c r="EQ152" s="386"/>
      <c r="ER152" s="385">
        <f t="shared" si="37"/>
        <v>0</v>
      </c>
      <c r="ES152" s="385"/>
      <c r="ET152" s="386">
        <f t="shared" si="34"/>
        <v>0</v>
      </c>
      <c r="EU152" s="386"/>
      <c r="EV152" s="82"/>
      <c r="EW152" s="82"/>
      <c r="EX152" s="82"/>
      <c r="EY152" s="82"/>
      <c r="EZ152" s="82"/>
      <c r="FA152" s="82"/>
      <c r="FB152" s="82"/>
      <c r="FC152" s="242"/>
      <c r="FD152" s="243"/>
    </row>
    <row r="153" spans="1:160" s="5" customFormat="1" ht="12" hidden="1">
      <c r="A153" s="156">
        <f t="shared" si="0"/>
        <v>1</v>
      </c>
      <c r="E153" s="201"/>
      <c r="F153" s="201"/>
      <c r="G153" s="201"/>
      <c r="H153" s="201"/>
      <c r="I153" s="201"/>
      <c r="J153" s="201"/>
      <c r="K153" s="201"/>
      <c r="L153" s="201"/>
      <c r="M153" s="203"/>
      <c r="N153" s="203"/>
      <c r="O153" s="203"/>
      <c r="P153" s="447" t="s">
        <v>138</v>
      </c>
      <c r="Q153" s="447"/>
      <c r="R153" s="447"/>
      <c r="S153" s="447" t="s">
        <v>119</v>
      </c>
      <c r="T153" s="447"/>
      <c r="U153" s="447"/>
      <c r="V153" s="447" t="s">
        <v>121</v>
      </c>
      <c r="W153" s="447"/>
      <c r="X153" s="447"/>
      <c r="Y153" s="447" t="s">
        <v>139</v>
      </c>
      <c r="Z153" s="447"/>
      <c r="AA153" s="447"/>
      <c r="AB153" s="447"/>
      <c r="AC153" s="447"/>
      <c r="AD153" s="447" t="s">
        <v>140</v>
      </c>
      <c r="AE153" s="447"/>
      <c r="AF153" s="447"/>
      <c r="AN153" s="459" t="s">
        <v>141</v>
      </c>
      <c r="AO153" s="459"/>
      <c r="AP153" s="459"/>
      <c r="AQ153" s="459"/>
      <c r="AR153" s="459"/>
      <c r="AS153" s="204"/>
      <c r="AU153" s="374">
        <f>V141</f>
        <v>43858</v>
      </c>
      <c r="AV153" s="218">
        <f>IF(AND(AU150&gt;0,AU153&gt;30),"N.B. Se il 30° giorno dall'omesso versamento cade in giorno festivo. Il foglio di calcolo sposta il termine al primo giorno lavorativo successivo. Se non ritieni corretta questa interpretazione non utilizzare il risultato proposto.","")</f>
      </c>
      <c r="AW153" s="207"/>
      <c r="AX153" s="207"/>
      <c r="AY153" s="207"/>
      <c r="AZ153" s="219"/>
      <c r="BA153" s="219"/>
      <c r="BB153" s="219"/>
      <c r="BC153" s="219"/>
      <c r="BD153" s="219"/>
      <c r="BE153" s="208"/>
      <c r="BF153" s="208"/>
      <c r="BG153" s="208"/>
      <c r="BH153" s="375">
        <f>AU153</f>
        <v>43858</v>
      </c>
      <c r="BI153" s="221">
        <f>IF(AND(BH150&gt;0,BH153&gt;90),"N.B. Il 90° giorno dall'omesso versamento cade in giorno festivo. Il foglio di calcolo sposta il termine al primo giorno lavorativo successivo. Se non ritieni corretta questa interpretazione non utilizzare il risultato proposto.","")</f>
      </c>
      <c r="BJ153" s="221"/>
      <c r="BK153" s="221"/>
      <c r="BL153" s="221"/>
      <c r="BM153" s="209"/>
      <c r="BN153" s="209"/>
      <c r="BO153" s="209"/>
      <c r="BP153" s="209"/>
      <c r="BQ153" s="209"/>
      <c r="BR153" s="210"/>
      <c r="BS153" s="210"/>
      <c r="BT153" s="210"/>
      <c r="BU153" s="5" t="s">
        <v>14</v>
      </c>
      <c r="CC153" s="146"/>
      <c r="CD153" s="146"/>
      <c r="CE153" s="146"/>
      <c r="CF153" s="167"/>
      <c r="CG153" s="222">
        <f>IF(CF146&gt;0," (Nel caso di cc.gg. la sanzione minima è del 100%, con un importo minimo di euro 103)","")</f>
      </c>
      <c r="CH153" s="222"/>
      <c r="CI153" s="222"/>
      <c r="CJ153" s="222"/>
      <c r="CK153" s="222"/>
      <c r="CL153" s="222"/>
      <c r="CM153" s="222"/>
      <c r="CN153" s="222"/>
      <c r="CO153" s="222"/>
      <c r="CP153" s="222"/>
      <c r="CQ153" s="167"/>
      <c r="CR153" s="222">
        <f>IF(CQ146&gt;0," (Nel caso di cc.gg. la sanzione minima è del 100%, con un importo minimo di euro 103)","")</f>
      </c>
      <c r="CS153" s="215"/>
      <c r="CT153" s="215"/>
      <c r="CU153" s="215"/>
      <c r="CV153" s="215"/>
      <c r="CW153" s="215"/>
      <c r="CX153" s="215"/>
      <c r="CY153" s="216"/>
      <c r="CZ153" s="216"/>
      <c r="DA153" s="216"/>
      <c r="DB153"/>
      <c r="DC153"/>
      <c r="DD153" s="59" t="s">
        <v>142</v>
      </c>
      <c r="DE153" s="59"/>
      <c r="DF153" s="59"/>
      <c r="DG153" s="59"/>
      <c r="DH153" s="59"/>
      <c r="DI153" s="59"/>
      <c r="DJ153" s="59"/>
      <c r="DK153" s="59"/>
      <c r="DL153" s="59"/>
      <c r="DM153" s="59"/>
      <c r="DN153" s="59"/>
      <c r="DO153" s="59"/>
      <c r="DP153" s="59"/>
      <c r="DQ153" s="386" t="str">
        <f t="shared" si="25"/>
        <v>3801</v>
      </c>
      <c r="DR153" s="386"/>
      <c r="DS153" s="60">
        <v>4</v>
      </c>
      <c r="DT153" s="386">
        <v>8902</v>
      </c>
      <c r="DU153" s="386"/>
      <c r="DV153" s="60">
        <v>1</v>
      </c>
      <c r="DW153" s="60">
        <v>4</v>
      </c>
      <c r="DX153" s="386">
        <v>1994</v>
      </c>
      <c r="DY153" s="386"/>
      <c r="DZ153" s="60">
        <v>4</v>
      </c>
      <c r="EA153" s="61">
        <f t="shared" si="35"/>
        <v>1</v>
      </c>
      <c r="EB153" s="61">
        <f t="shared" si="36"/>
        <v>1</v>
      </c>
      <c r="EC153" s="61">
        <f t="shared" si="26"/>
        <v>0</v>
      </c>
      <c r="ED153" s="386">
        <f t="shared" si="27"/>
        <v>0</v>
      </c>
      <c r="EE153" s="386"/>
      <c r="EF153" s="60">
        <f t="shared" si="28"/>
        <v>0</v>
      </c>
      <c r="EG153" s="386">
        <f t="shared" si="29"/>
        <v>0</v>
      </c>
      <c r="EH153" s="386"/>
      <c r="EI153" s="60">
        <f t="shared" si="30"/>
        <v>0</v>
      </c>
      <c r="EJ153" s="60">
        <f t="shared" si="31"/>
        <v>0</v>
      </c>
      <c r="EK153" s="386">
        <f t="shared" si="32"/>
        <v>0</v>
      </c>
      <c r="EL153" s="386"/>
      <c r="EM153" s="60">
        <f t="shared" si="33"/>
        <v>0</v>
      </c>
      <c r="EN153" s="386">
        <f aca="true" t="shared" si="38" ref="EN153:EN158">EC153*9999</f>
        <v>0</v>
      </c>
      <c r="EO153" s="386"/>
      <c r="EP153" s="386">
        <f>IF(ER153&lt;&gt;0,EC153*(ER153-1),0)</f>
        <v>0</v>
      </c>
      <c r="EQ153" s="386"/>
      <c r="ER153" s="385">
        <f t="shared" si="37"/>
        <v>0</v>
      </c>
      <c r="ES153" s="385"/>
      <c r="ET153" s="386">
        <f t="shared" si="34"/>
        <v>0</v>
      </c>
      <c r="EU153" s="386"/>
      <c r="EV153" s="82"/>
      <c r="EW153" s="82"/>
      <c r="EX153" s="82"/>
      <c r="EY153" s="82"/>
      <c r="EZ153" s="82"/>
      <c r="FA153" s="82"/>
      <c r="FB153" s="82"/>
      <c r="FC153" s="242"/>
      <c r="FD153" s="243"/>
    </row>
    <row r="154" spans="1:160" s="5" customFormat="1" ht="12" hidden="1">
      <c r="A154" s="156">
        <f t="shared" si="0"/>
        <v>1</v>
      </c>
      <c r="B154" s="67"/>
      <c r="C154" s="67"/>
      <c r="D154" s="67"/>
      <c r="E154" s="202"/>
      <c r="F154" s="202"/>
      <c r="G154" s="202"/>
      <c r="H154" s="202"/>
      <c r="I154" s="202"/>
      <c r="J154" s="202"/>
      <c r="K154" s="202"/>
      <c r="L154" s="202"/>
      <c r="M154" s="202"/>
      <c r="N154" s="202"/>
      <c r="O154" s="202"/>
      <c r="P154" s="666">
        <f>AP149+AZ149+BM149+BX149+CI149+CT149</f>
        <v>0</v>
      </c>
      <c r="Q154" s="667"/>
      <c r="R154" s="668"/>
      <c r="S154" s="502">
        <f>AL149+AX149+BK149+BV149+CG149+CR149</f>
        <v>0</v>
      </c>
      <c r="T154" s="503"/>
      <c r="U154" s="663"/>
      <c r="V154" s="502">
        <f>ROUNDUP(AR149+BE149+BR149+CC149+CN149+CY149,4)</f>
        <v>0</v>
      </c>
      <c r="W154" s="503"/>
      <c r="X154" s="663"/>
      <c r="Y154" s="664">
        <f>IF(OR(AS107=1500,AS107=1504),MAX((X11-X12)*CQ314,0),IF(AS107=1507,X11-X12,MAX(X17,0)))</f>
        <v>0</v>
      </c>
      <c r="Z154" s="504"/>
      <c r="AA154" s="504"/>
      <c r="AB154" s="504"/>
      <c r="AC154" s="665"/>
      <c r="AD154" s="533">
        <f>V154*Y154</f>
        <v>0</v>
      </c>
      <c r="AE154" s="534"/>
      <c r="AF154" s="535"/>
      <c r="AG154" s="151">
        <f>1-AG152</f>
        <v>1</v>
      </c>
      <c r="AN154" s="562">
        <f>AD154*AG154+AD152*AG152</f>
        <v>0</v>
      </c>
      <c r="AO154" s="563"/>
      <c r="AP154" s="563"/>
      <c r="AQ154" s="563"/>
      <c r="AR154" s="564"/>
      <c r="AS154" s="579">
        <f>CONCATENATE(AJ150,AV150,BI150,BV150,CG150,CR150)</f>
      </c>
      <c r="AT154" s="580"/>
      <c r="AU154" s="580"/>
      <c r="AV154" s="580"/>
      <c r="AW154" s="580"/>
      <c r="AX154" s="580"/>
      <c r="AY154" s="580"/>
      <c r="AZ154" s="580"/>
      <c r="BA154" s="580"/>
      <c r="BB154" s="580"/>
      <c r="BC154" s="580"/>
      <c r="BD154" s="580"/>
      <c r="BE154" s="580"/>
      <c r="BF154" s="580"/>
      <c r="BG154" s="580"/>
      <c r="BH154" s="280">
        <f>SUM(BH147:BH148)</f>
        <v>0</v>
      </c>
      <c r="BI154" s="305">
        <f>IF(BH154=1,"ATTENZIONE!!! Per la dichiarazione integrativa presentata nei primi 90 giorni dalla scadenza originaria si configura la fattispecie prevista all'art. 8 del D.Lgs. 471/97, non quella di dichiarazione 'infedele' ex art. 1, c. 1 del medesimo D.Lgs.",IF(BH154=2,"ATTENZIONE!!! Il termine di presentazione della dichiarazione ("&amp;FE222&amp;"/"&amp;FF222&amp;"/"&amp;FG222&amp;") non è ancora scaduto!",""))</f>
      </c>
      <c r="BJ154" s="303"/>
      <c r="BK154" s="303"/>
      <c r="BL154" s="303"/>
      <c r="BM154" s="303"/>
      <c r="BN154" s="303"/>
      <c r="BO154" s="304"/>
      <c r="BP154" s="304"/>
      <c r="BQ154" s="304"/>
      <c r="BR154" s="304"/>
      <c r="BS154" s="303"/>
      <c r="BT154" s="303"/>
      <c r="BU154" s="201"/>
      <c r="BV154" s="201"/>
      <c r="BW154" s="201"/>
      <c r="BX154" s="201"/>
      <c r="CJ154"/>
      <c r="CK154"/>
      <c r="CL154"/>
      <c r="CM154"/>
      <c r="CN154"/>
      <c r="CO154"/>
      <c r="CP154"/>
      <c r="CQ154"/>
      <c r="CR154"/>
      <c r="CS154"/>
      <c r="CT154"/>
      <c r="CU154"/>
      <c r="CV154"/>
      <c r="CW154"/>
      <c r="CX154"/>
      <c r="CY154"/>
      <c r="CZ154"/>
      <c r="DA154"/>
      <c r="DB154"/>
      <c r="DC154"/>
      <c r="DD154" s="59" t="s">
        <v>143</v>
      </c>
      <c r="DE154" s="59"/>
      <c r="DF154" s="59"/>
      <c r="DG154" s="59"/>
      <c r="DH154" s="59"/>
      <c r="DI154" s="59"/>
      <c r="DJ154" s="59"/>
      <c r="DK154" s="59"/>
      <c r="DL154" s="59"/>
      <c r="DM154" s="59"/>
      <c r="DN154" s="59"/>
      <c r="DO154" s="59"/>
      <c r="DP154" s="59"/>
      <c r="DQ154" s="386" t="str">
        <f t="shared" si="25"/>
        <v>3843</v>
      </c>
      <c r="DR154" s="386"/>
      <c r="DS154" s="60">
        <v>5</v>
      </c>
      <c r="DT154" s="386">
        <v>8926</v>
      </c>
      <c r="DU154" s="386"/>
      <c r="DV154" s="60">
        <v>1</v>
      </c>
      <c r="DW154" s="60">
        <v>5</v>
      </c>
      <c r="DX154" s="386">
        <v>1998</v>
      </c>
      <c r="DY154" s="386"/>
      <c r="DZ154" s="60">
        <v>5</v>
      </c>
      <c r="EA154" s="61">
        <f t="shared" si="35"/>
        <v>1</v>
      </c>
      <c r="EB154" s="61">
        <f t="shared" si="36"/>
        <v>1</v>
      </c>
      <c r="EC154" s="61">
        <f t="shared" si="26"/>
        <v>0</v>
      </c>
      <c r="ED154" s="386">
        <f t="shared" si="27"/>
        <v>0</v>
      </c>
      <c r="EE154" s="386"/>
      <c r="EF154" s="60">
        <f t="shared" si="28"/>
        <v>0</v>
      </c>
      <c r="EG154" s="386">
        <f t="shared" si="29"/>
        <v>0</v>
      </c>
      <c r="EH154" s="386"/>
      <c r="EI154" s="60">
        <f t="shared" si="30"/>
        <v>0</v>
      </c>
      <c r="EJ154" s="60">
        <f t="shared" si="31"/>
        <v>0</v>
      </c>
      <c r="EK154" s="386">
        <f t="shared" si="32"/>
        <v>0</v>
      </c>
      <c r="EL154" s="386"/>
      <c r="EM154" s="60">
        <f t="shared" si="33"/>
        <v>0</v>
      </c>
      <c r="EN154" s="386">
        <f t="shared" si="38"/>
        <v>0</v>
      </c>
      <c r="EO154" s="386"/>
      <c r="EP154" s="386">
        <f>IF(ER154&lt;&gt;0,EC154*ER154,0)</f>
        <v>0</v>
      </c>
      <c r="EQ154" s="386"/>
      <c r="ER154" s="385">
        <f t="shared" si="37"/>
        <v>0</v>
      </c>
      <c r="ES154" s="385"/>
      <c r="ET154" s="386">
        <f t="shared" si="34"/>
        <v>0</v>
      </c>
      <c r="EU154" s="386"/>
      <c r="EV154" s="82"/>
      <c r="EW154" s="82"/>
      <c r="EX154" s="82"/>
      <c r="EY154" s="82"/>
      <c r="EZ154" s="82"/>
      <c r="FA154" s="82"/>
      <c r="FB154" s="82"/>
      <c r="FC154" s="242"/>
      <c r="FD154" s="243"/>
    </row>
    <row r="155" spans="1:160" s="5" customFormat="1" ht="12" hidden="1">
      <c r="A155" s="156">
        <f t="shared" si="0"/>
        <v>1</v>
      </c>
      <c r="B155" s="67"/>
      <c r="C155" s="67"/>
      <c r="D155" s="67"/>
      <c r="AS155" s="403">
        <f>IF(AND(C421&gt;0,D421&gt;0,D422&gt;0),CONCATENATE(AJ151,AV151,AV152,BI151,BI152,BI154,BV151,BV152,CG151,CG152,CR151,CR152,CG153,CR153),IF(AND(D421=0,D422=0),"DATA DELL'OMESSO VERSAMENTO E DATA DEL RAVVEDIMENTO NON COMPRESE NEGLI INTERVALLI VALIDI",IF(D421=0,CONCATENATE("DATA DELL'OMESSO VERSAMENTO NON COMPRESA NELL'INTERVALLO 01/01/",YEAR(Q174)," - ",DAY(Q175),"/",MONTH(Q175),"/",YEAR(Q175)),IF(D422=0,CONCATENATE("DATA DEL RAVVEDIMENTO NON COMPRESA NELL'INTERVALLO 01/01/2015 - 31/12/",YEAR(Q175)),""))))</f>
      </c>
      <c r="AT155" s="403"/>
      <c r="AU155" s="403"/>
      <c r="AV155" s="403"/>
      <c r="AW155" s="403"/>
      <c r="AX155" s="403"/>
      <c r="AY155" s="403"/>
      <c r="AZ155" s="403"/>
      <c r="BA155" s="403"/>
      <c r="BB155" s="403"/>
      <c r="BC155" s="403"/>
      <c r="BD155" s="403"/>
      <c r="BE155" s="403"/>
      <c r="BF155" s="403"/>
      <c r="BG155" s="403"/>
      <c r="CJ155"/>
      <c r="CK155"/>
      <c r="CL155"/>
      <c r="CM155"/>
      <c r="CN155"/>
      <c r="CO155"/>
      <c r="CP155"/>
      <c r="CQ155"/>
      <c r="CR155"/>
      <c r="CS155"/>
      <c r="CT155"/>
      <c r="CU155"/>
      <c r="CV155"/>
      <c r="CW155"/>
      <c r="CX155"/>
      <c r="CY155"/>
      <c r="CZ155"/>
      <c r="DA155"/>
      <c r="DB155"/>
      <c r="DC155"/>
      <c r="DD155" s="59" t="s">
        <v>144</v>
      </c>
      <c r="DE155" s="59"/>
      <c r="DF155" s="59"/>
      <c r="DG155" s="59"/>
      <c r="DH155" s="59"/>
      <c r="DI155" s="59"/>
      <c r="DJ155" s="59"/>
      <c r="DK155" s="59"/>
      <c r="DL155" s="59"/>
      <c r="DM155" s="59"/>
      <c r="DN155" s="59"/>
      <c r="DO155" s="59"/>
      <c r="DP155" s="59"/>
      <c r="DQ155" s="386" t="str">
        <f t="shared" si="25"/>
        <v>3844</v>
      </c>
      <c r="DR155" s="386"/>
      <c r="DS155" s="60">
        <v>5</v>
      </c>
      <c r="DT155" s="386">
        <v>8926</v>
      </c>
      <c r="DU155" s="386"/>
      <c r="DV155" s="60">
        <v>1</v>
      </c>
      <c r="DW155" s="60">
        <v>5</v>
      </c>
      <c r="DX155" s="386">
        <v>1998</v>
      </c>
      <c r="DY155" s="386"/>
      <c r="DZ155" s="60">
        <v>5</v>
      </c>
      <c r="EA155" s="61">
        <f t="shared" si="35"/>
        <v>1</v>
      </c>
      <c r="EB155" s="61">
        <f t="shared" si="36"/>
        <v>1</v>
      </c>
      <c r="EC155" s="61">
        <f t="shared" si="26"/>
        <v>0</v>
      </c>
      <c r="ED155" s="386">
        <f t="shared" si="27"/>
        <v>0</v>
      </c>
      <c r="EE155" s="386"/>
      <c r="EF155" s="60">
        <f t="shared" si="28"/>
        <v>0</v>
      </c>
      <c r="EG155" s="386">
        <f t="shared" si="29"/>
        <v>0</v>
      </c>
      <c r="EH155" s="386"/>
      <c r="EI155" s="60">
        <f t="shared" si="30"/>
        <v>0</v>
      </c>
      <c r="EJ155" s="60">
        <f t="shared" si="31"/>
        <v>0</v>
      </c>
      <c r="EK155" s="386">
        <f t="shared" si="32"/>
        <v>0</v>
      </c>
      <c r="EL155" s="386"/>
      <c r="EM155" s="60">
        <f t="shared" si="33"/>
        <v>0</v>
      </c>
      <c r="EN155" s="386">
        <f t="shared" si="38"/>
        <v>0</v>
      </c>
      <c r="EO155" s="386"/>
      <c r="EP155" s="386">
        <f>IF(ER155&lt;&gt;0,EC155*(ER155-1),0)</f>
        <v>0</v>
      </c>
      <c r="EQ155" s="386"/>
      <c r="ER155" s="385">
        <f t="shared" si="37"/>
        <v>0</v>
      </c>
      <c r="ES155" s="385"/>
      <c r="ET155" s="386">
        <f t="shared" si="34"/>
        <v>0</v>
      </c>
      <c r="EU155" s="386"/>
      <c r="EV155" s="82"/>
      <c r="EW155" s="82"/>
      <c r="EX155" s="82"/>
      <c r="EY155" s="82"/>
      <c r="EZ155" s="82"/>
      <c r="FA155" s="82"/>
      <c r="FB155" s="82"/>
      <c r="FC155" s="242"/>
      <c r="FD155" s="243"/>
    </row>
    <row r="156" spans="1:160" s="5" customFormat="1" ht="12" hidden="1">
      <c r="A156" s="156">
        <f t="shared" si="0"/>
        <v>1</v>
      </c>
      <c r="B156" s="67"/>
      <c r="C156" s="67"/>
      <c r="D156" s="67"/>
      <c r="E156" s="4" t="s">
        <v>13</v>
      </c>
      <c r="F156" s="4"/>
      <c r="G156" s="4"/>
      <c r="H156" s="4"/>
      <c r="I156" s="4"/>
      <c r="N156" s="4"/>
      <c r="O156" s="4"/>
      <c r="AS156" s="403" t="str">
        <f>CONCATENATE("¹ ",AC149)</f>
        <v>¹ </v>
      </c>
      <c r="AT156" s="403"/>
      <c r="AU156" s="403"/>
      <c r="AV156" s="403"/>
      <c r="AW156" s="403"/>
      <c r="AX156" s="403"/>
      <c r="AY156" s="403"/>
      <c r="AZ156" s="403"/>
      <c r="BA156" s="403"/>
      <c r="BB156" s="403"/>
      <c r="BC156" s="403"/>
      <c r="BD156" s="403"/>
      <c r="BE156" s="403"/>
      <c r="BF156" s="403"/>
      <c r="BG156" s="403"/>
      <c r="CJ156"/>
      <c r="CK156"/>
      <c r="CL156"/>
      <c r="CM156"/>
      <c r="CN156"/>
      <c r="CO156"/>
      <c r="CP156"/>
      <c r="CQ156"/>
      <c r="CR156"/>
      <c r="CS156"/>
      <c r="CT156"/>
      <c r="CU156"/>
      <c r="CV156"/>
      <c r="CW156"/>
      <c r="CX156"/>
      <c r="CY156"/>
      <c r="CZ156"/>
      <c r="DA156"/>
      <c r="DB156"/>
      <c r="DC156"/>
      <c r="DD156" s="59" t="s">
        <v>145</v>
      </c>
      <c r="DE156" s="59"/>
      <c r="DF156" s="59"/>
      <c r="DG156" s="59"/>
      <c r="DH156" s="59"/>
      <c r="DI156" s="59"/>
      <c r="DJ156" s="59"/>
      <c r="DK156" s="59"/>
      <c r="DL156" s="59"/>
      <c r="DM156" s="59"/>
      <c r="DN156" s="59"/>
      <c r="DO156" s="59"/>
      <c r="DP156" s="59"/>
      <c r="DQ156" s="384" t="str">
        <f t="shared" si="25"/>
        <v>4200</v>
      </c>
      <c r="DR156" s="384"/>
      <c r="DS156" s="170">
        <v>2</v>
      </c>
      <c r="DT156" s="384">
        <v>8901</v>
      </c>
      <c r="DU156" s="384"/>
      <c r="DV156" s="170">
        <v>1</v>
      </c>
      <c r="DW156" s="170">
        <v>2</v>
      </c>
      <c r="DX156" s="384">
        <v>1989</v>
      </c>
      <c r="DY156" s="384"/>
      <c r="DZ156" s="170">
        <v>2</v>
      </c>
      <c r="EA156" s="61">
        <f t="shared" si="35"/>
        <v>1</v>
      </c>
      <c r="EB156" s="61">
        <f t="shared" si="36"/>
        <v>1</v>
      </c>
      <c r="EC156" s="61">
        <f t="shared" si="26"/>
        <v>0</v>
      </c>
      <c r="ED156" s="384">
        <f t="shared" si="27"/>
        <v>0</v>
      </c>
      <c r="EE156" s="384"/>
      <c r="EF156" s="170">
        <f t="shared" si="28"/>
        <v>0</v>
      </c>
      <c r="EG156" s="384">
        <f t="shared" si="29"/>
        <v>0</v>
      </c>
      <c r="EH156" s="384"/>
      <c r="EI156" s="170">
        <f t="shared" si="30"/>
        <v>0</v>
      </c>
      <c r="EJ156" s="170">
        <f t="shared" si="31"/>
        <v>0</v>
      </c>
      <c r="EK156" s="384">
        <f t="shared" si="32"/>
        <v>0</v>
      </c>
      <c r="EL156" s="384"/>
      <c r="EM156" s="170">
        <f t="shared" si="33"/>
        <v>0</v>
      </c>
      <c r="EN156" s="384">
        <f t="shared" si="38"/>
        <v>0</v>
      </c>
      <c r="EO156" s="384"/>
      <c r="EP156" s="386">
        <f>IF(ER156&lt;&gt;0,EC156*(ER156-1),0)</f>
        <v>0</v>
      </c>
      <c r="EQ156" s="386"/>
      <c r="ER156" s="385">
        <f t="shared" si="37"/>
        <v>0</v>
      </c>
      <c r="ES156" s="385"/>
      <c r="ET156" s="386">
        <f t="shared" si="34"/>
        <v>0</v>
      </c>
      <c r="EU156" s="386"/>
      <c r="EV156" s="82"/>
      <c r="EW156" s="82"/>
      <c r="EX156" s="172"/>
      <c r="EY156" s="172"/>
      <c r="EZ156" s="172"/>
      <c r="FA156" s="172"/>
      <c r="FB156" s="172"/>
      <c r="FC156" s="242"/>
      <c r="FD156" s="243"/>
    </row>
    <row r="157" spans="1:160" s="5" customFormat="1" ht="12" hidden="1">
      <c r="A157" s="156">
        <f t="shared" si="0"/>
        <v>1</v>
      </c>
      <c r="B157" s="67"/>
      <c r="C157" s="67"/>
      <c r="D157" s="67"/>
      <c r="E157" s="85" t="s">
        <v>146</v>
      </c>
      <c r="F157" s="85"/>
      <c r="G157" s="85"/>
      <c r="H157" s="85"/>
      <c r="I157" s="67" t="s">
        <v>112</v>
      </c>
      <c r="M157" s="67" t="s">
        <v>147</v>
      </c>
      <c r="O157" s="4"/>
      <c r="P157" s="4"/>
      <c r="Q157" s="4"/>
      <c r="R157" s="4"/>
      <c r="AN157" s="5" t="s">
        <v>148</v>
      </c>
      <c r="CJ157"/>
      <c r="CK157"/>
      <c r="CL157"/>
      <c r="CM157"/>
      <c r="CN157"/>
      <c r="CO157"/>
      <c r="CP157"/>
      <c r="CQ157"/>
      <c r="CR157"/>
      <c r="CS157"/>
      <c r="CT157"/>
      <c r="CU157"/>
      <c r="CV157"/>
      <c r="CW157"/>
      <c r="CX157"/>
      <c r="CY157"/>
      <c r="CZ157"/>
      <c r="DA157"/>
      <c r="DB157"/>
      <c r="DC157"/>
      <c r="DD157" s="370" t="s">
        <v>149</v>
      </c>
      <c r="DE157" s="59"/>
      <c r="DF157" s="59"/>
      <c r="DG157" s="59"/>
      <c r="DH157" s="59"/>
      <c r="DI157" s="59"/>
      <c r="DJ157" s="59"/>
      <c r="DK157" s="59"/>
      <c r="DL157" s="59"/>
      <c r="DM157" s="59"/>
      <c r="DN157" s="59"/>
      <c r="DO157" s="59"/>
      <c r="DP157" s="59"/>
      <c r="DQ157" s="386" t="str">
        <f t="shared" si="25"/>
        <v>4041</v>
      </c>
      <c r="DR157" s="386"/>
      <c r="DS157" s="60">
        <v>2</v>
      </c>
      <c r="DT157" s="386">
        <v>8908</v>
      </c>
      <c r="DU157" s="386"/>
      <c r="DV157" s="60">
        <v>1</v>
      </c>
      <c r="DW157" s="60">
        <v>2</v>
      </c>
      <c r="DX157" s="386">
        <v>1989</v>
      </c>
      <c r="DY157" s="386"/>
      <c r="DZ157" s="60">
        <v>2</v>
      </c>
      <c r="EA157" s="61">
        <f t="shared" si="35"/>
        <v>1</v>
      </c>
      <c r="EB157" s="61">
        <f t="shared" si="36"/>
        <v>1</v>
      </c>
      <c r="EC157" s="61">
        <f t="shared" si="26"/>
        <v>0</v>
      </c>
      <c r="ED157" s="386">
        <f t="shared" si="27"/>
        <v>0</v>
      </c>
      <c r="EE157" s="386"/>
      <c r="EF157" s="60">
        <f t="shared" si="28"/>
        <v>0</v>
      </c>
      <c r="EG157" s="386">
        <f t="shared" si="29"/>
        <v>0</v>
      </c>
      <c r="EH157" s="386"/>
      <c r="EI157" s="60">
        <f t="shared" si="30"/>
        <v>0</v>
      </c>
      <c r="EJ157" s="60">
        <f t="shared" si="31"/>
        <v>0</v>
      </c>
      <c r="EK157" s="386">
        <f t="shared" si="32"/>
        <v>0</v>
      </c>
      <c r="EL157" s="386"/>
      <c r="EM157" s="60">
        <f t="shared" si="33"/>
        <v>0</v>
      </c>
      <c r="EN157" s="386">
        <f t="shared" si="38"/>
        <v>0</v>
      </c>
      <c r="EO157" s="386"/>
      <c r="EP157" s="386">
        <f>IF(ER157&lt;&gt;0,EC157*(ER157-1),0)</f>
        <v>0</v>
      </c>
      <c r="EQ157" s="386"/>
      <c r="ER157" s="385">
        <f t="shared" si="37"/>
        <v>0</v>
      </c>
      <c r="ES157" s="385"/>
      <c r="ET157" s="386">
        <f t="shared" si="34"/>
        <v>0</v>
      </c>
      <c r="EU157" s="386"/>
      <c r="EV157" s="82"/>
      <c r="EW157" s="82"/>
      <c r="EX157" s="82"/>
      <c r="EY157" s="82"/>
      <c r="EZ157" s="82"/>
      <c r="FA157" s="82"/>
      <c r="FB157" s="82"/>
      <c r="FC157" s="242"/>
      <c r="FD157" s="243"/>
    </row>
    <row r="158" spans="1:160" s="5" customFormat="1" ht="12" hidden="1">
      <c r="A158" s="156">
        <f t="shared" si="0"/>
        <v>1</v>
      </c>
      <c r="B158" s="67"/>
      <c r="C158" s="67"/>
      <c r="D158" s="67"/>
      <c r="E158" s="662">
        <f>Q174</f>
        <v>42005</v>
      </c>
      <c r="F158" s="662"/>
      <c r="G158" s="662"/>
      <c r="H158" s="662"/>
      <c r="I158" s="69"/>
      <c r="V158" s="67"/>
      <c r="W158" s="4"/>
      <c r="X158" s="4"/>
      <c r="Y158" s="4"/>
      <c r="Z158" s="4"/>
      <c r="AA158" s="68"/>
      <c r="AB158" s="68"/>
      <c r="AC158" s="68"/>
      <c r="AD158" s="68"/>
      <c r="CJ158"/>
      <c r="CK158"/>
      <c r="CL158"/>
      <c r="CM158"/>
      <c r="CN158"/>
      <c r="CO158"/>
      <c r="CP158"/>
      <c r="CQ158"/>
      <c r="CR158"/>
      <c r="CS158"/>
      <c r="CT158"/>
      <c r="CU158"/>
      <c r="CV158"/>
      <c r="CW158"/>
      <c r="CX158"/>
      <c r="CY158"/>
      <c r="CZ158"/>
      <c r="DA158"/>
      <c r="DB158"/>
      <c r="DC158"/>
      <c r="DD158" s="370" t="s">
        <v>150</v>
      </c>
      <c r="DE158" s="370"/>
      <c r="DF158" s="370"/>
      <c r="DG158" s="370"/>
      <c r="DH158" s="370"/>
      <c r="DI158" s="370"/>
      <c r="DJ158" s="370"/>
      <c r="DK158" s="370"/>
      <c r="DL158" s="370"/>
      <c r="DM158" s="370"/>
      <c r="DN158" s="370"/>
      <c r="DO158" s="370"/>
      <c r="DP158" s="370"/>
      <c r="DQ158" s="384" t="str">
        <f t="shared" si="25"/>
        <v>4044</v>
      </c>
      <c r="DR158" s="384"/>
      <c r="DS158" s="60">
        <v>2</v>
      </c>
      <c r="DT158" s="384">
        <v>8908</v>
      </c>
      <c r="DU158" s="384"/>
      <c r="DV158" s="60">
        <v>1</v>
      </c>
      <c r="DW158" s="60">
        <v>2</v>
      </c>
      <c r="DX158" s="384">
        <v>1989</v>
      </c>
      <c r="DY158" s="384"/>
      <c r="DZ158" s="60">
        <v>2</v>
      </c>
      <c r="EA158" s="61">
        <f t="shared" si="35"/>
        <v>1</v>
      </c>
      <c r="EB158" s="61">
        <f t="shared" si="36"/>
        <v>1</v>
      </c>
      <c r="EC158" s="61">
        <f t="shared" si="26"/>
        <v>0</v>
      </c>
      <c r="ED158" s="386">
        <f t="shared" si="27"/>
        <v>0</v>
      </c>
      <c r="EE158" s="386"/>
      <c r="EF158" s="60">
        <f t="shared" si="28"/>
        <v>0</v>
      </c>
      <c r="EG158" s="386">
        <f t="shared" si="29"/>
        <v>0</v>
      </c>
      <c r="EH158" s="386"/>
      <c r="EI158" s="60">
        <f t="shared" si="30"/>
        <v>0</v>
      </c>
      <c r="EJ158" s="60">
        <f t="shared" si="31"/>
        <v>0</v>
      </c>
      <c r="EK158" s="386">
        <f t="shared" si="32"/>
        <v>0</v>
      </c>
      <c r="EL158" s="386"/>
      <c r="EM158" s="60">
        <f t="shared" si="33"/>
        <v>0</v>
      </c>
      <c r="EN158" s="386">
        <f t="shared" si="38"/>
        <v>0</v>
      </c>
      <c r="EO158" s="386"/>
      <c r="EP158" s="386">
        <f>IF(ER158&lt;&gt;0,EC158*ER158,0)</f>
        <v>0</v>
      </c>
      <c r="EQ158" s="386"/>
      <c r="ER158" s="385">
        <f t="shared" si="37"/>
        <v>0</v>
      </c>
      <c r="ES158" s="385"/>
      <c r="ET158" s="386">
        <f t="shared" si="34"/>
        <v>0</v>
      </c>
      <c r="EU158" s="386"/>
      <c r="EV158" s="82"/>
      <c r="EW158" s="82"/>
      <c r="EX158" s="82"/>
      <c r="EY158" s="82"/>
      <c r="EZ158" s="82"/>
      <c r="FA158" s="82"/>
      <c r="FB158" s="82"/>
      <c r="FC158" s="242"/>
      <c r="FD158" s="243"/>
    </row>
    <row r="159" spans="1:160" s="5" customFormat="1" ht="12" hidden="1">
      <c r="A159" s="156">
        <f t="shared" si="0"/>
        <v>1</v>
      </c>
      <c r="B159" s="67"/>
      <c r="C159" s="67"/>
      <c r="D159" s="67"/>
      <c r="E159" s="431">
        <f aca="true" t="shared" si="39" ref="E159:E172">E158</f>
        <v>42005</v>
      </c>
      <c r="F159" s="431"/>
      <c r="G159" s="431"/>
      <c r="H159" s="431"/>
      <c r="I159" s="431">
        <f>IF(AN154&gt;0,X13*C421,0)</f>
        <v>0</v>
      </c>
      <c r="J159" s="431"/>
      <c r="K159" s="431"/>
      <c r="L159" s="431"/>
      <c r="M159" s="431">
        <f>IF(AN154&gt;0,X14,0)</f>
        <v>0</v>
      </c>
      <c r="N159" s="431"/>
      <c r="O159" s="431"/>
      <c r="P159" s="431"/>
      <c r="Q159" s="501"/>
      <c r="R159" s="501"/>
      <c r="S159" s="501"/>
      <c r="T159" s="501"/>
      <c r="U159" s="501"/>
      <c r="V159" s="431">
        <f aca="true" t="shared" si="40" ref="V159:V172">Q159</f>
        <v>0</v>
      </c>
      <c r="W159" s="431"/>
      <c r="X159" s="431"/>
      <c r="Y159" s="431"/>
      <c r="Z159" s="4" t="s">
        <v>151</v>
      </c>
      <c r="AA159" s="431">
        <f>MIN(MAX(V159-I159,0),MAX(M159-E159,0))</f>
        <v>0</v>
      </c>
      <c r="AB159" s="431"/>
      <c r="AC159" s="431"/>
      <c r="AD159" s="431">
        <v>365</v>
      </c>
      <c r="AE159" s="431"/>
      <c r="AF159" s="431"/>
      <c r="AG159" s="688"/>
      <c r="AH159" s="688"/>
      <c r="AI159" s="518">
        <f>MAX(X17,0)</f>
        <v>0</v>
      </c>
      <c r="AJ159" s="518"/>
      <c r="AK159" s="518"/>
      <c r="AL159" s="518"/>
      <c r="AM159" s="518"/>
      <c r="AN159" s="519">
        <f aca="true" t="shared" si="41" ref="AN159:AN172">IF(I159&lt;E159,0,AI159*AG159*(AA159/AD159))</f>
        <v>0</v>
      </c>
      <c r="AO159" s="519"/>
      <c r="AP159" s="519"/>
      <c r="AQ159" s="519"/>
      <c r="AR159" s="51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c r="CF159" s="159"/>
      <c r="CG159" s="159"/>
      <c r="CH159" s="159"/>
      <c r="CI159" s="159"/>
      <c r="CJ159"/>
      <c r="CK159"/>
      <c r="CL159"/>
      <c r="CM159"/>
      <c r="CN159"/>
      <c r="CO159"/>
      <c r="CP159"/>
      <c r="CQ159"/>
      <c r="CR159"/>
      <c r="CS159"/>
      <c r="CT159"/>
      <c r="CU159"/>
      <c r="CV159"/>
      <c r="CW159"/>
      <c r="CX159"/>
      <c r="CY159"/>
      <c r="CZ159"/>
      <c r="DA159"/>
      <c r="DB159"/>
      <c r="DC159"/>
      <c r="DD159" s="370" t="s">
        <v>152</v>
      </c>
      <c r="DE159" s="370"/>
      <c r="DF159" s="370"/>
      <c r="DG159" s="370"/>
      <c r="DH159" s="370"/>
      <c r="DI159" s="370"/>
      <c r="DJ159" s="370"/>
      <c r="DK159" s="370"/>
      <c r="DL159" s="370"/>
      <c r="DM159" s="370"/>
      <c r="DN159" s="370"/>
      <c r="DO159" s="370"/>
      <c r="DP159" s="370"/>
      <c r="DQ159" s="384" t="str">
        <f t="shared" si="25"/>
        <v>4045</v>
      </c>
      <c r="DR159" s="384"/>
      <c r="DS159" s="60">
        <v>2</v>
      </c>
      <c r="DT159" s="384">
        <v>8908</v>
      </c>
      <c r="DU159" s="384"/>
      <c r="DV159" s="60">
        <v>1</v>
      </c>
      <c r="DW159" s="60">
        <v>2</v>
      </c>
      <c r="DX159" s="384">
        <v>1989</v>
      </c>
      <c r="DY159" s="384"/>
      <c r="DZ159" s="60">
        <v>2</v>
      </c>
      <c r="EA159" s="61">
        <f t="shared" si="35"/>
        <v>1</v>
      </c>
      <c r="EB159" s="61">
        <f t="shared" si="36"/>
        <v>1</v>
      </c>
      <c r="EC159" s="61">
        <f t="shared" si="26"/>
        <v>0</v>
      </c>
      <c r="ED159" s="386">
        <f t="shared" si="27"/>
        <v>0</v>
      </c>
      <c r="EE159" s="386"/>
      <c r="EF159" s="60">
        <f t="shared" si="28"/>
        <v>0</v>
      </c>
      <c r="EG159" s="386">
        <f t="shared" si="29"/>
        <v>0</v>
      </c>
      <c r="EH159" s="386"/>
      <c r="EI159" s="60">
        <f t="shared" si="30"/>
        <v>0</v>
      </c>
      <c r="EJ159" s="60">
        <f t="shared" si="31"/>
        <v>0</v>
      </c>
      <c r="EK159" s="386">
        <f t="shared" si="32"/>
        <v>0</v>
      </c>
      <c r="EL159" s="386"/>
      <c r="EM159" s="60">
        <f t="shared" si="33"/>
        <v>0</v>
      </c>
      <c r="EN159" s="386"/>
      <c r="EO159" s="386"/>
      <c r="EP159" s="386">
        <f>IF(ER159&lt;&gt;0,EC159*ER159,0)</f>
        <v>0</v>
      </c>
      <c r="EQ159" s="386"/>
      <c r="ER159" s="385">
        <f t="shared" si="37"/>
        <v>0</v>
      </c>
      <c r="ES159" s="385"/>
      <c r="ET159" s="386">
        <f t="shared" si="34"/>
        <v>0</v>
      </c>
      <c r="EU159" s="386"/>
      <c r="EV159" s="172"/>
      <c r="EW159" s="172"/>
      <c r="EX159" s="172"/>
      <c r="EY159" s="172"/>
      <c r="EZ159" s="172"/>
      <c r="FA159" s="172"/>
      <c r="FB159" s="82"/>
      <c r="FC159" s="242"/>
      <c r="FD159" s="243"/>
    </row>
    <row r="160" spans="1:160" s="5" customFormat="1" ht="12" hidden="1">
      <c r="A160" s="156">
        <f t="shared" si="0"/>
        <v>1</v>
      </c>
      <c r="B160" s="67"/>
      <c r="C160" s="67"/>
      <c r="D160" s="67"/>
      <c r="E160" s="431">
        <f t="shared" si="39"/>
        <v>42005</v>
      </c>
      <c r="F160" s="431"/>
      <c r="G160" s="431"/>
      <c r="H160" s="431"/>
      <c r="I160" s="431">
        <f aca="true" t="shared" si="42" ref="I160:I172">I159</f>
        <v>0</v>
      </c>
      <c r="J160" s="431"/>
      <c r="K160" s="431"/>
      <c r="L160" s="431"/>
      <c r="M160" s="431">
        <f aca="true" t="shared" si="43" ref="M160:M172">M159</f>
        <v>0</v>
      </c>
      <c r="N160" s="431"/>
      <c r="O160" s="431"/>
      <c r="P160" s="431"/>
      <c r="Q160" s="501"/>
      <c r="R160" s="501"/>
      <c r="S160" s="501"/>
      <c r="T160" s="501"/>
      <c r="U160" s="501"/>
      <c r="V160" s="431">
        <f t="shared" si="40"/>
        <v>0</v>
      </c>
      <c r="W160" s="431"/>
      <c r="X160" s="431"/>
      <c r="Y160" s="431"/>
      <c r="Z160" s="4" t="s">
        <v>151</v>
      </c>
      <c r="AA160" s="431">
        <f aca="true" t="shared" si="44" ref="AA160:AA172">MIN(MAX(V160-I160,0),MAX(M160-V159,0),MAX(MIN(V160-V159,M160-I160),0))</f>
        <v>0</v>
      </c>
      <c r="AB160" s="431"/>
      <c r="AC160" s="431"/>
      <c r="AD160" s="431">
        <f aca="true" t="shared" si="45" ref="AD160:AD172">AD159</f>
        <v>365</v>
      </c>
      <c r="AE160" s="431"/>
      <c r="AF160" s="431"/>
      <c r="AG160" s="688"/>
      <c r="AH160" s="688"/>
      <c r="AI160" s="518">
        <f aca="true" t="shared" si="46" ref="AI160:AI172">AI159</f>
        <v>0</v>
      </c>
      <c r="AJ160" s="518"/>
      <c r="AK160" s="518"/>
      <c r="AL160" s="518"/>
      <c r="AM160" s="518"/>
      <c r="AN160" s="519">
        <f t="shared" si="41"/>
        <v>0</v>
      </c>
      <c r="AO160" s="519"/>
      <c r="AP160" s="519"/>
      <c r="AQ160" s="519"/>
      <c r="AR160" s="51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c r="CF160" s="159"/>
      <c r="CG160" s="159"/>
      <c r="CH160" s="159"/>
      <c r="CI160" s="159"/>
      <c r="CJ160"/>
      <c r="CK160"/>
      <c r="CL160"/>
      <c r="CM160"/>
      <c r="CN160"/>
      <c r="CO160"/>
      <c r="CP160"/>
      <c r="CQ160"/>
      <c r="CR160"/>
      <c r="CS160"/>
      <c r="CT160"/>
      <c r="CU160"/>
      <c r="CV160"/>
      <c r="CW160"/>
      <c r="CX160"/>
      <c r="CY160"/>
      <c r="CZ160"/>
      <c r="DA160"/>
      <c r="DB160"/>
      <c r="DC160"/>
      <c r="DD160" s="370" t="s">
        <v>153</v>
      </c>
      <c r="DE160" s="370"/>
      <c r="DF160" s="370"/>
      <c r="DG160" s="370"/>
      <c r="DH160" s="370"/>
      <c r="DI160" s="370"/>
      <c r="DJ160" s="370"/>
      <c r="DK160" s="370"/>
      <c r="DL160" s="370"/>
      <c r="DM160" s="370"/>
      <c r="DN160" s="370"/>
      <c r="DO160" s="370"/>
      <c r="DP160" s="370"/>
      <c r="DQ160" s="384" t="str">
        <f t="shared" si="25"/>
        <v>4043</v>
      </c>
      <c r="DR160" s="384"/>
      <c r="DS160" s="60">
        <v>2</v>
      </c>
      <c r="DT160" s="386">
        <v>8908</v>
      </c>
      <c r="DU160" s="386"/>
      <c r="DV160" s="60">
        <v>1</v>
      </c>
      <c r="DW160" s="60">
        <v>2</v>
      </c>
      <c r="DX160" s="386">
        <v>1989</v>
      </c>
      <c r="DY160" s="386"/>
      <c r="DZ160" s="60">
        <v>2</v>
      </c>
      <c r="EA160" s="61">
        <f t="shared" si="35"/>
        <v>1</v>
      </c>
      <c r="EB160" s="61">
        <f t="shared" si="36"/>
        <v>1</v>
      </c>
      <c r="EC160" s="61">
        <f t="shared" si="26"/>
        <v>0</v>
      </c>
      <c r="ED160" s="386">
        <f t="shared" si="27"/>
        <v>0</v>
      </c>
      <c r="EE160" s="386"/>
      <c r="EF160" s="60">
        <f t="shared" si="28"/>
        <v>0</v>
      </c>
      <c r="EG160" s="386">
        <f t="shared" si="29"/>
        <v>0</v>
      </c>
      <c r="EH160" s="386"/>
      <c r="EI160" s="60">
        <f t="shared" si="30"/>
        <v>0</v>
      </c>
      <c r="EJ160" s="60">
        <f t="shared" si="31"/>
        <v>0</v>
      </c>
      <c r="EK160" s="386">
        <f t="shared" si="32"/>
        <v>0</v>
      </c>
      <c r="EL160" s="386"/>
      <c r="EM160" s="60">
        <f t="shared" si="33"/>
        <v>0</v>
      </c>
      <c r="EN160" s="386">
        <f>EC160*9999</f>
        <v>0</v>
      </c>
      <c r="EO160" s="386"/>
      <c r="EP160" s="386">
        <f>IF(ER160&lt;&gt;0,EC160*(ER160-1),0)</f>
        <v>0</v>
      </c>
      <c r="EQ160" s="386"/>
      <c r="ER160" s="385">
        <f t="shared" si="37"/>
        <v>0</v>
      </c>
      <c r="ES160" s="385"/>
      <c r="ET160" s="386">
        <f t="shared" si="34"/>
        <v>0</v>
      </c>
      <c r="EU160" s="386"/>
      <c r="EV160" s="82"/>
      <c r="EW160" s="82"/>
      <c r="EX160" s="82"/>
      <c r="EY160" s="82"/>
      <c r="EZ160" s="82"/>
      <c r="FA160" s="82"/>
      <c r="FB160" s="82"/>
      <c r="FC160" s="242"/>
      <c r="FD160" s="243"/>
    </row>
    <row r="161" spans="1:160" s="5" customFormat="1" ht="12" hidden="1">
      <c r="A161" s="156">
        <f t="shared" si="0"/>
        <v>1</v>
      </c>
      <c r="B161" s="67"/>
      <c r="C161" s="67"/>
      <c r="D161" s="67"/>
      <c r="E161" s="431">
        <f t="shared" si="39"/>
        <v>42005</v>
      </c>
      <c r="F161" s="431"/>
      <c r="G161" s="431"/>
      <c r="H161" s="431"/>
      <c r="I161" s="431">
        <f t="shared" si="42"/>
        <v>0</v>
      </c>
      <c r="J161" s="431"/>
      <c r="K161" s="431"/>
      <c r="L161" s="431"/>
      <c r="M161" s="431">
        <f t="shared" si="43"/>
        <v>0</v>
      </c>
      <c r="N161" s="431"/>
      <c r="O161" s="431"/>
      <c r="P161" s="431"/>
      <c r="Q161" s="501"/>
      <c r="R161" s="501"/>
      <c r="S161" s="501"/>
      <c r="T161" s="501"/>
      <c r="U161" s="501"/>
      <c r="V161" s="431">
        <f t="shared" si="40"/>
        <v>0</v>
      </c>
      <c r="W161" s="431"/>
      <c r="X161" s="431"/>
      <c r="Y161" s="431"/>
      <c r="Z161" s="4" t="s">
        <v>151</v>
      </c>
      <c r="AA161" s="431">
        <f t="shared" si="44"/>
        <v>0</v>
      </c>
      <c r="AB161" s="431"/>
      <c r="AC161" s="431"/>
      <c r="AD161" s="431">
        <f t="shared" si="45"/>
        <v>365</v>
      </c>
      <c r="AE161" s="431"/>
      <c r="AF161" s="431"/>
      <c r="AG161" s="688"/>
      <c r="AH161" s="688"/>
      <c r="AI161" s="518">
        <f t="shared" si="46"/>
        <v>0</v>
      </c>
      <c r="AJ161" s="518"/>
      <c r="AK161" s="518"/>
      <c r="AL161" s="518"/>
      <c r="AM161" s="518"/>
      <c r="AN161" s="519">
        <f t="shared" si="41"/>
        <v>0</v>
      </c>
      <c r="AO161" s="519"/>
      <c r="AP161" s="519"/>
      <c r="AQ161" s="519"/>
      <c r="AR161" s="51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c r="CF161" s="159"/>
      <c r="CG161" s="159"/>
      <c r="CH161" s="159"/>
      <c r="CI161" s="159"/>
      <c r="CJ161"/>
      <c r="CK161"/>
      <c r="CL161"/>
      <c r="CM161"/>
      <c r="CN161"/>
      <c r="CO161"/>
      <c r="CP161"/>
      <c r="CQ161"/>
      <c r="CR161"/>
      <c r="CS161"/>
      <c r="CT161"/>
      <c r="CU161"/>
      <c r="CV161"/>
      <c r="CW161"/>
      <c r="CX161"/>
      <c r="CY161"/>
      <c r="CZ161"/>
      <c r="DA161"/>
      <c r="DB161"/>
      <c r="DC161"/>
      <c r="DD161" s="370" t="s">
        <v>154</v>
      </c>
      <c r="DE161" s="370"/>
      <c r="DF161" s="370"/>
      <c r="DG161" s="370"/>
      <c r="DH161" s="370"/>
      <c r="DI161" s="370"/>
      <c r="DJ161" s="370"/>
      <c r="DK161" s="370"/>
      <c r="DL161" s="370"/>
      <c r="DM161" s="370"/>
      <c r="DN161" s="370"/>
      <c r="DO161" s="370"/>
      <c r="DP161" s="370"/>
      <c r="DQ161" s="384" t="str">
        <f t="shared" si="25"/>
        <v>4047</v>
      </c>
      <c r="DR161" s="384"/>
      <c r="DS161" s="60">
        <v>2</v>
      </c>
      <c r="DT161" s="384">
        <v>8908</v>
      </c>
      <c r="DU161" s="384"/>
      <c r="DV161" s="60">
        <v>1</v>
      </c>
      <c r="DW161" s="60">
        <v>2</v>
      </c>
      <c r="DX161" s="384">
        <v>1989</v>
      </c>
      <c r="DY161" s="384"/>
      <c r="DZ161" s="60">
        <v>2</v>
      </c>
      <c r="EA161" s="61">
        <f t="shared" si="35"/>
        <v>1</v>
      </c>
      <c r="EB161" s="61">
        <f t="shared" si="36"/>
        <v>1</v>
      </c>
      <c r="EC161" s="61">
        <f t="shared" si="26"/>
        <v>0</v>
      </c>
      <c r="ED161" s="386">
        <f t="shared" si="27"/>
        <v>0</v>
      </c>
      <c r="EE161" s="386"/>
      <c r="EF161" s="60">
        <f t="shared" si="28"/>
        <v>0</v>
      </c>
      <c r="EG161" s="386">
        <f t="shared" si="29"/>
        <v>0</v>
      </c>
      <c r="EH161" s="386"/>
      <c r="EI161" s="60">
        <f t="shared" si="30"/>
        <v>0</v>
      </c>
      <c r="EJ161" s="60">
        <f t="shared" si="31"/>
        <v>0</v>
      </c>
      <c r="EK161" s="386">
        <f t="shared" si="32"/>
        <v>0</v>
      </c>
      <c r="EL161" s="386"/>
      <c r="EM161" s="60">
        <f t="shared" si="33"/>
        <v>0</v>
      </c>
      <c r="EN161" s="386">
        <f>EC161*9999</f>
        <v>0</v>
      </c>
      <c r="EO161" s="386"/>
      <c r="EP161" s="386">
        <f>IF(ER161&lt;&gt;0,EC161*ER161,0)</f>
        <v>0</v>
      </c>
      <c r="EQ161" s="386"/>
      <c r="ER161" s="385">
        <f t="shared" si="37"/>
        <v>0</v>
      </c>
      <c r="ES161" s="385"/>
      <c r="ET161" s="386">
        <f t="shared" si="34"/>
        <v>0</v>
      </c>
      <c r="EU161" s="386"/>
      <c r="EV161" s="82"/>
      <c r="EW161" s="82"/>
      <c r="EX161" s="82"/>
      <c r="EY161" s="82"/>
      <c r="EZ161" s="82"/>
      <c r="FA161" s="82"/>
      <c r="FB161" s="82"/>
      <c r="FC161" s="242"/>
      <c r="FD161" s="243"/>
    </row>
    <row r="162" spans="1:160" s="5" customFormat="1" ht="12" hidden="1">
      <c r="A162" s="156">
        <f t="shared" si="0"/>
        <v>1</v>
      </c>
      <c r="B162" s="67"/>
      <c r="C162" s="67"/>
      <c r="D162" s="67"/>
      <c r="E162" s="431">
        <f t="shared" si="39"/>
        <v>42005</v>
      </c>
      <c r="F162" s="431"/>
      <c r="G162" s="431"/>
      <c r="H162" s="431"/>
      <c r="I162" s="431">
        <f t="shared" si="42"/>
        <v>0</v>
      </c>
      <c r="J162" s="431"/>
      <c r="K162" s="431"/>
      <c r="L162" s="431"/>
      <c r="M162" s="431">
        <f t="shared" si="43"/>
        <v>0</v>
      </c>
      <c r="N162" s="431"/>
      <c r="O162" s="431"/>
      <c r="P162" s="431"/>
      <c r="Q162" s="501"/>
      <c r="R162" s="501"/>
      <c r="S162" s="501"/>
      <c r="T162" s="501"/>
      <c r="U162" s="501"/>
      <c r="V162" s="431">
        <f t="shared" si="40"/>
        <v>0</v>
      </c>
      <c r="W162" s="431"/>
      <c r="X162" s="431"/>
      <c r="Y162" s="431"/>
      <c r="Z162" s="4" t="s">
        <v>151</v>
      </c>
      <c r="AA162" s="431">
        <f t="shared" si="44"/>
        <v>0</v>
      </c>
      <c r="AB162" s="431"/>
      <c r="AC162" s="431"/>
      <c r="AD162" s="431">
        <f t="shared" si="45"/>
        <v>365</v>
      </c>
      <c r="AE162" s="431"/>
      <c r="AF162" s="431"/>
      <c r="AG162" s="688"/>
      <c r="AH162" s="688"/>
      <c r="AI162" s="518">
        <f t="shared" si="46"/>
        <v>0</v>
      </c>
      <c r="AJ162" s="518"/>
      <c r="AK162" s="518"/>
      <c r="AL162" s="518"/>
      <c r="AM162" s="518"/>
      <c r="AN162" s="519">
        <f t="shared" si="41"/>
        <v>0</v>
      </c>
      <c r="AO162" s="519"/>
      <c r="AP162" s="519"/>
      <c r="AQ162" s="519"/>
      <c r="AR162" s="51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R162" s="159"/>
      <c r="BS162" s="159"/>
      <c r="BT162" s="159"/>
      <c r="BU162" s="159"/>
      <c r="BV162" s="159"/>
      <c r="BW162" s="159"/>
      <c r="BX162" s="159"/>
      <c r="BY162" s="159"/>
      <c r="BZ162" s="159"/>
      <c r="CA162" s="159"/>
      <c r="CB162" s="159"/>
      <c r="CC162" s="159"/>
      <c r="CD162" s="159"/>
      <c r="CE162" s="159"/>
      <c r="CF162" s="159"/>
      <c r="CG162" s="159"/>
      <c r="CH162" s="159"/>
      <c r="CI162" s="159"/>
      <c r="CJ162"/>
      <c r="CK162"/>
      <c r="CL162"/>
      <c r="CM162"/>
      <c r="CN162"/>
      <c r="CO162"/>
      <c r="CP162"/>
      <c r="CQ162"/>
      <c r="CR162"/>
      <c r="CS162"/>
      <c r="CT162"/>
      <c r="CU162"/>
      <c r="CV162"/>
      <c r="CW162"/>
      <c r="CX162"/>
      <c r="CY162"/>
      <c r="CZ162"/>
      <c r="DA162"/>
      <c r="DB162"/>
      <c r="DC162"/>
      <c r="DD162" s="370" t="s">
        <v>155</v>
      </c>
      <c r="DE162" s="370"/>
      <c r="DF162" s="370"/>
      <c r="DG162" s="370"/>
      <c r="DH162" s="370"/>
      <c r="DI162" s="370"/>
      <c r="DJ162" s="370"/>
      <c r="DK162" s="370"/>
      <c r="DL162" s="370"/>
      <c r="DM162" s="370"/>
      <c r="DN162" s="370"/>
      <c r="DO162" s="370"/>
      <c r="DP162" s="370"/>
      <c r="DQ162" s="384" t="str">
        <f t="shared" si="25"/>
        <v>4048</v>
      </c>
      <c r="DR162" s="384"/>
      <c r="DS162" s="60">
        <v>2</v>
      </c>
      <c r="DT162" s="384">
        <v>8908</v>
      </c>
      <c r="DU162" s="384"/>
      <c r="DV162" s="60">
        <v>1</v>
      </c>
      <c r="DW162" s="60">
        <v>2</v>
      </c>
      <c r="DX162" s="384">
        <v>1989</v>
      </c>
      <c r="DY162" s="384"/>
      <c r="DZ162" s="60">
        <v>2</v>
      </c>
      <c r="EA162" s="61">
        <f t="shared" si="35"/>
        <v>1</v>
      </c>
      <c r="EB162" s="61">
        <f t="shared" si="36"/>
        <v>1</v>
      </c>
      <c r="EC162" s="61">
        <f t="shared" si="26"/>
        <v>0</v>
      </c>
      <c r="ED162" s="386">
        <f t="shared" si="27"/>
        <v>0</v>
      </c>
      <c r="EE162" s="386"/>
      <c r="EF162" s="60">
        <f t="shared" si="28"/>
        <v>0</v>
      </c>
      <c r="EG162" s="386">
        <f t="shared" si="29"/>
        <v>0</v>
      </c>
      <c r="EH162" s="386"/>
      <c r="EI162" s="60">
        <f t="shared" si="30"/>
        <v>0</v>
      </c>
      <c r="EJ162" s="60">
        <f t="shared" si="31"/>
        <v>0</v>
      </c>
      <c r="EK162" s="386">
        <f t="shared" si="32"/>
        <v>0</v>
      </c>
      <c r="EL162" s="386"/>
      <c r="EM162" s="60">
        <f t="shared" si="33"/>
        <v>0</v>
      </c>
      <c r="EN162" s="386"/>
      <c r="EO162" s="386"/>
      <c r="EP162" s="386">
        <f>IF(ER162&lt;&gt;0,EC162*ER162,0)</f>
        <v>0</v>
      </c>
      <c r="EQ162" s="386"/>
      <c r="ER162" s="385">
        <f t="shared" si="37"/>
        <v>0</v>
      </c>
      <c r="ES162" s="385"/>
      <c r="ET162" s="386">
        <f t="shared" si="34"/>
        <v>0</v>
      </c>
      <c r="EU162" s="386"/>
      <c r="EV162" s="82"/>
      <c r="EW162" s="82"/>
      <c r="EX162" s="172"/>
      <c r="EY162" s="172"/>
      <c r="EZ162" s="172"/>
      <c r="FA162" s="172"/>
      <c r="FB162" s="172"/>
      <c r="FC162" s="242"/>
      <c r="FD162" s="243"/>
    </row>
    <row r="163" spans="1:160" s="5" customFormat="1" ht="12" hidden="1">
      <c r="A163" s="156">
        <f t="shared" si="0"/>
        <v>1</v>
      </c>
      <c r="B163" s="67"/>
      <c r="E163" s="431">
        <f t="shared" si="39"/>
        <v>42005</v>
      </c>
      <c r="F163" s="431"/>
      <c r="G163" s="431"/>
      <c r="H163" s="431"/>
      <c r="I163" s="431">
        <f t="shared" si="42"/>
        <v>0</v>
      </c>
      <c r="J163" s="431"/>
      <c r="K163" s="431"/>
      <c r="L163" s="431"/>
      <c r="M163" s="431">
        <f t="shared" si="43"/>
        <v>0</v>
      </c>
      <c r="N163" s="431"/>
      <c r="O163" s="431"/>
      <c r="P163" s="431"/>
      <c r="Q163" s="501"/>
      <c r="R163" s="501"/>
      <c r="S163" s="501"/>
      <c r="T163" s="501"/>
      <c r="U163" s="501"/>
      <c r="V163" s="431">
        <f t="shared" si="40"/>
        <v>0</v>
      </c>
      <c r="W163" s="431"/>
      <c r="X163" s="431"/>
      <c r="Y163" s="431"/>
      <c r="Z163" s="4" t="s">
        <v>151</v>
      </c>
      <c r="AA163" s="431">
        <f t="shared" si="44"/>
        <v>0</v>
      </c>
      <c r="AB163" s="431"/>
      <c r="AC163" s="431"/>
      <c r="AD163" s="431">
        <f t="shared" si="45"/>
        <v>365</v>
      </c>
      <c r="AE163" s="431"/>
      <c r="AF163" s="431"/>
      <c r="AG163" s="686"/>
      <c r="AH163" s="687"/>
      <c r="AI163" s="520">
        <f t="shared" si="46"/>
        <v>0</v>
      </c>
      <c r="AJ163" s="520"/>
      <c r="AK163" s="520"/>
      <c r="AL163" s="520"/>
      <c r="AM163" s="520"/>
      <c r="AN163" s="521">
        <f t="shared" si="41"/>
        <v>0</v>
      </c>
      <c r="AO163" s="521"/>
      <c r="AP163" s="521"/>
      <c r="AQ163" s="521"/>
      <c r="AR163" s="522"/>
      <c r="AT163" s="517"/>
      <c r="AU163" s="517"/>
      <c r="AV163" s="517"/>
      <c r="AW163" s="517"/>
      <c r="AX163" s="517"/>
      <c r="AY163" s="517"/>
      <c r="AZ163" s="261"/>
      <c r="BA163" s="262"/>
      <c r="BB163" s="262"/>
      <c r="BC163" s="262"/>
      <c r="BD163" s="262"/>
      <c r="BE163" s="156"/>
      <c r="BF163" s="159"/>
      <c r="BG163" s="159"/>
      <c r="BH163" s="159"/>
      <c r="BI163" s="159"/>
      <c r="BJ163" s="159"/>
      <c r="BK163" s="159"/>
      <c r="BL163" s="159"/>
      <c r="BM163" s="159"/>
      <c r="BN163" s="159"/>
      <c r="BO163" s="159"/>
      <c r="CB163" s="159"/>
      <c r="CC163" s="159"/>
      <c r="CD163" s="159"/>
      <c r="CE163" s="159"/>
      <c r="CF163" s="159"/>
      <c r="CG163" s="159"/>
      <c r="CH163" s="159"/>
      <c r="CI163" s="159"/>
      <c r="CJ163"/>
      <c r="CK163"/>
      <c r="CL163"/>
      <c r="CM163"/>
      <c r="CN163"/>
      <c r="CO163"/>
      <c r="CP163"/>
      <c r="CQ163"/>
      <c r="CR163"/>
      <c r="CS163"/>
      <c r="CT163"/>
      <c r="CU163"/>
      <c r="CV163"/>
      <c r="CW163"/>
      <c r="CX163"/>
      <c r="CY163"/>
      <c r="CZ163"/>
      <c r="DA163"/>
      <c r="DB163"/>
      <c r="DC163"/>
      <c r="DD163" s="376" t="s">
        <v>156</v>
      </c>
      <c r="DE163" s="59"/>
      <c r="DF163" s="59"/>
      <c r="DG163" s="59"/>
      <c r="DH163" s="59"/>
      <c r="DI163" s="59"/>
      <c r="DJ163" s="59"/>
      <c r="DK163" s="59"/>
      <c r="DL163" s="59"/>
      <c r="DM163" s="59"/>
      <c r="DN163" s="59"/>
      <c r="DO163" s="59"/>
      <c r="DP163" s="59"/>
      <c r="DQ163" s="386" t="str">
        <f t="shared" si="25"/>
        <v>2018</v>
      </c>
      <c r="DR163" s="386"/>
      <c r="DS163" s="60">
        <v>2</v>
      </c>
      <c r="DT163" s="386">
        <v>8918</v>
      </c>
      <c r="DU163" s="386"/>
      <c r="DV163" s="60">
        <v>1</v>
      </c>
      <c r="DW163" s="60">
        <v>2</v>
      </c>
      <c r="DX163" s="386">
        <v>1990</v>
      </c>
      <c r="DY163" s="386"/>
      <c r="DZ163" s="60">
        <v>2</v>
      </c>
      <c r="EA163" s="61">
        <f t="shared" si="35"/>
        <v>1</v>
      </c>
      <c r="EB163" s="61">
        <f t="shared" si="36"/>
        <v>1</v>
      </c>
      <c r="EC163" s="61">
        <f t="shared" si="26"/>
        <v>0</v>
      </c>
      <c r="ED163" s="386">
        <f t="shared" si="27"/>
        <v>0</v>
      </c>
      <c r="EE163" s="386"/>
      <c r="EF163" s="60">
        <f t="shared" si="28"/>
        <v>0</v>
      </c>
      <c r="EG163" s="386">
        <f t="shared" si="29"/>
        <v>0</v>
      </c>
      <c r="EH163" s="386"/>
      <c r="EI163" s="60">
        <f t="shared" si="30"/>
        <v>0</v>
      </c>
      <c r="EJ163" s="60">
        <f t="shared" si="31"/>
        <v>0</v>
      </c>
      <c r="EK163" s="386">
        <f t="shared" si="32"/>
        <v>0</v>
      </c>
      <c r="EL163" s="386"/>
      <c r="EM163" s="60">
        <f t="shared" si="33"/>
        <v>0</v>
      </c>
      <c r="EN163" s="386">
        <f>EC163*9999</f>
        <v>0</v>
      </c>
      <c r="EO163" s="386"/>
      <c r="EP163" s="386">
        <f>IF(ER163&lt;&gt;0,EC163*ER163,0)</f>
        <v>0</v>
      </c>
      <c r="EQ163" s="386"/>
      <c r="ER163" s="385">
        <f t="shared" si="37"/>
        <v>0</v>
      </c>
      <c r="ES163" s="385"/>
      <c r="ET163" s="386">
        <f t="shared" si="34"/>
        <v>0</v>
      </c>
      <c r="EU163" s="386"/>
      <c r="EV163" s="82"/>
      <c r="EW163" s="82"/>
      <c r="EX163" s="172"/>
      <c r="EY163" s="172"/>
      <c r="EZ163" s="172"/>
      <c r="FA163" s="172"/>
      <c r="FB163" s="172"/>
      <c r="FC163" s="242"/>
      <c r="FD163" s="243"/>
    </row>
    <row r="164" spans="1:160" s="5" customFormat="1" ht="12" hidden="1">
      <c r="A164" s="156">
        <f t="shared" si="0"/>
        <v>1</v>
      </c>
      <c r="B164" s="67"/>
      <c r="E164" s="431">
        <f t="shared" si="39"/>
        <v>42005</v>
      </c>
      <c r="F164" s="431"/>
      <c r="G164" s="431"/>
      <c r="H164" s="431"/>
      <c r="I164" s="431">
        <f t="shared" si="42"/>
        <v>0</v>
      </c>
      <c r="J164" s="431"/>
      <c r="K164" s="431"/>
      <c r="L164" s="431"/>
      <c r="M164" s="431">
        <f t="shared" si="43"/>
        <v>0</v>
      </c>
      <c r="N164" s="431"/>
      <c r="O164" s="431"/>
      <c r="P164" s="431"/>
      <c r="Q164" s="501"/>
      <c r="R164" s="501"/>
      <c r="S164" s="501"/>
      <c r="T164" s="501"/>
      <c r="U164" s="501"/>
      <c r="V164" s="431">
        <f t="shared" si="40"/>
        <v>0</v>
      </c>
      <c r="W164" s="431"/>
      <c r="X164" s="431"/>
      <c r="Y164" s="431"/>
      <c r="Z164" s="4" t="s">
        <v>151</v>
      </c>
      <c r="AA164" s="431">
        <f t="shared" si="44"/>
        <v>0</v>
      </c>
      <c r="AB164" s="431"/>
      <c r="AC164" s="431"/>
      <c r="AD164" s="431">
        <f t="shared" si="45"/>
        <v>365</v>
      </c>
      <c r="AE164" s="431"/>
      <c r="AF164" s="431"/>
      <c r="AG164" s="513"/>
      <c r="AH164" s="514"/>
      <c r="AI164" s="512">
        <f t="shared" si="46"/>
        <v>0</v>
      </c>
      <c r="AJ164" s="512"/>
      <c r="AK164" s="512"/>
      <c r="AL164" s="512"/>
      <c r="AM164" s="512"/>
      <c r="AN164" s="515">
        <f t="shared" si="41"/>
        <v>0</v>
      </c>
      <c r="AO164" s="515"/>
      <c r="AP164" s="515"/>
      <c r="AQ164" s="515"/>
      <c r="AR164" s="516"/>
      <c r="AT164" s="159"/>
      <c r="AU164" s="159"/>
      <c r="AV164" s="159"/>
      <c r="AW164" s="159"/>
      <c r="AX164" s="159"/>
      <c r="AY164" s="159"/>
      <c r="AZ164" s="159"/>
      <c r="BA164" s="159"/>
      <c r="BB164" s="159"/>
      <c r="BC164" s="159"/>
      <c r="BD164" s="159"/>
      <c r="CJ164"/>
      <c r="CK164"/>
      <c r="CL164"/>
      <c r="CM164"/>
      <c r="CN164"/>
      <c r="CO164"/>
      <c r="CP164"/>
      <c r="CQ164"/>
      <c r="CR164"/>
      <c r="CS164"/>
      <c r="CT164"/>
      <c r="CU164"/>
      <c r="CV164"/>
      <c r="CW164"/>
      <c r="CX164"/>
      <c r="CY164"/>
      <c r="CZ164"/>
      <c r="DA164"/>
      <c r="DB164"/>
      <c r="DC164"/>
      <c r="DD164" s="376" t="s">
        <v>157</v>
      </c>
      <c r="DE164" s="59"/>
      <c r="DF164" s="59"/>
      <c r="DG164" s="59"/>
      <c r="DH164" s="59"/>
      <c r="DI164" s="59"/>
      <c r="DJ164" s="59"/>
      <c r="DK164" s="59"/>
      <c r="DL164" s="59"/>
      <c r="DM164" s="59"/>
      <c r="DN164" s="59"/>
      <c r="DO164" s="59"/>
      <c r="DP164" s="59"/>
      <c r="DQ164" s="386" t="str">
        <f t="shared" si="25"/>
        <v>2019</v>
      </c>
      <c r="DR164" s="386"/>
      <c r="DS164" s="60">
        <v>2</v>
      </c>
      <c r="DT164" s="386">
        <v>8918</v>
      </c>
      <c r="DU164" s="386"/>
      <c r="DV164" s="60">
        <v>1</v>
      </c>
      <c r="DW164" s="60">
        <v>2</v>
      </c>
      <c r="DX164" s="386">
        <v>1990</v>
      </c>
      <c r="DY164" s="386"/>
      <c r="DZ164" s="60">
        <v>2</v>
      </c>
      <c r="EA164" s="61">
        <f t="shared" si="35"/>
        <v>1</v>
      </c>
      <c r="EB164" s="61">
        <f t="shared" si="36"/>
        <v>1</v>
      </c>
      <c r="EC164" s="61">
        <f t="shared" si="26"/>
        <v>0</v>
      </c>
      <c r="ED164" s="386">
        <f t="shared" si="27"/>
        <v>0</v>
      </c>
      <c r="EE164" s="386"/>
      <c r="EF164" s="60">
        <f t="shared" si="28"/>
        <v>0</v>
      </c>
      <c r="EG164" s="386">
        <f t="shared" si="29"/>
        <v>0</v>
      </c>
      <c r="EH164" s="386"/>
      <c r="EI164" s="60">
        <f t="shared" si="30"/>
        <v>0</v>
      </c>
      <c r="EJ164" s="60">
        <f t="shared" si="31"/>
        <v>0</v>
      </c>
      <c r="EK164" s="386">
        <f t="shared" si="32"/>
        <v>0</v>
      </c>
      <c r="EL164" s="386"/>
      <c r="EM164" s="60">
        <f t="shared" si="33"/>
        <v>0</v>
      </c>
      <c r="EN164" s="386">
        <v>0</v>
      </c>
      <c r="EO164" s="386"/>
      <c r="EP164" s="386">
        <f>IF(ER164&lt;&gt;0,EC164*ER164,0)</f>
        <v>0</v>
      </c>
      <c r="EQ164" s="386"/>
      <c r="ER164" s="385">
        <f t="shared" si="37"/>
        <v>0</v>
      </c>
      <c r="ES164" s="385"/>
      <c r="ET164" s="386">
        <f t="shared" si="34"/>
        <v>0</v>
      </c>
      <c r="EU164" s="386"/>
      <c r="EV164" s="82"/>
      <c r="EW164" s="82"/>
      <c r="EX164" s="172"/>
      <c r="EY164" s="172"/>
      <c r="EZ164" s="172"/>
      <c r="FA164" s="172"/>
      <c r="FB164" s="172"/>
      <c r="FC164" s="242"/>
      <c r="FD164" s="243"/>
    </row>
    <row r="165" spans="1:160" s="5" customFormat="1" ht="12" hidden="1">
      <c r="A165" s="156">
        <f t="shared" si="0"/>
        <v>1</v>
      </c>
      <c r="B165" s="67"/>
      <c r="E165" s="431">
        <f t="shared" si="39"/>
        <v>42005</v>
      </c>
      <c r="F165" s="431"/>
      <c r="G165" s="431"/>
      <c r="H165" s="431"/>
      <c r="I165" s="431">
        <f t="shared" si="42"/>
        <v>0</v>
      </c>
      <c r="J165" s="431"/>
      <c r="K165" s="431"/>
      <c r="L165" s="431"/>
      <c r="M165" s="431">
        <f t="shared" si="43"/>
        <v>0</v>
      </c>
      <c r="N165" s="431"/>
      <c r="O165" s="431"/>
      <c r="P165" s="431"/>
      <c r="Q165" s="501">
        <v>41639</v>
      </c>
      <c r="R165" s="501"/>
      <c r="S165" s="501"/>
      <c r="T165" s="501"/>
      <c r="U165" s="501"/>
      <c r="V165" s="431">
        <f t="shared" si="40"/>
        <v>41639</v>
      </c>
      <c r="W165" s="431"/>
      <c r="X165" s="431"/>
      <c r="Y165" s="431"/>
      <c r="Z165" s="4" t="s">
        <v>151</v>
      </c>
      <c r="AA165" s="431">
        <f t="shared" si="44"/>
        <v>0</v>
      </c>
      <c r="AB165" s="431"/>
      <c r="AC165" s="431"/>
      <c r="AD165" s="431">
        <f t="shared" si="45"/>
        <v>365</v>
      </c>
      <c r="AE165" s="431"/>
      <c r="AF165" s="431"/>
      <c r="AG165" s="502">
        <v>0.025</v>
      </c>
      <c r="AH165" s="503"/>
      <c r="AI165" s="504">
        <f t="shared" si="46"/>
        <v>0</v>
      </c>
      <c r="AJ165" s="504"/>
      <c r="AK165" s="504"/>
      <c r="AL165" s="504"/>
      <c r="AM165" s="504"/>
      <c r="AN165" s="509">
        <f t="shared" si="41"/>
        <v>0</v>
      </c>
      <c r="AO165" s="509"/>
      <c r="AP165" s="509"/>
      <c r="AQ165" s="509"/>
      <c r="AR165" s="510"/>
      <c r="AT165" s="517"/>
      <c r="AU165" s="517"/>
      <c r="AV165" s="517"/>
      <c r="AW165" s="517"/>
      <c r="AX165" s="517"/>
      <c r="AY165" s="517"/>
      <c r="AZ165" s="262"/>
      <c r="BA165" s="262"/>
      <c r="BB165" s="262"/>
      <c r="BC165" s="262"/>
      <c r="BD165" s="262"/>
      <c r="BE165" s="156"/>
      <c r="CJ165"/>
      <c r="CK165"/>
      <c r="CL165"/>
      <c r="CM165"/>
      <c r="CN165"/>
      <c r="CO165"/>
      <c r="CP165"/>
      <c r="CQ165"/>
      <c r="CR165"/>
      <c r="CS165"/>
      <c r="CT165"/>
      <c r="CU165"/>
      <c r="CV165"/>
      <c r="CW165"/>
      <c r="CX165"/>
      <c r="CY165"/>
      <c r="CZ165"/>
      <c r="DA165"/>
      <c r="DB165"/>
      <c r="DC165"/>
      <c r="DD165" s="376" t="s">
        <v>158</v>
      </c>
      <c r="DE165" s="59"/>
      <c r="DF165" s="59"/>
      <c r="DG165" s="59"/>
      <c r="DH165" s="59"/>
      <c r="DI165" s="59"/>
      <c r="DJ165" s="59"/>
      <c r="DK165" s="59"/>
      <c r="DL165" s="59"/>
      <c r="DM165" s="59"/>
      <c r="DN165" s="59"/>
      <c r="DO165" s="59"/>
      <c r="DP165" s="59"/>
      <c r="DQ165" s="386" t="str">
        <f t="shared" si="25"/>
        <v>2020</v>
      </c>
      <c r="DR165" s="386"/>
      <c r="DS165" s="60">
        <v>2</v>
      </c>
      <c r="DT165" s="386">
        <v>8918</v>
      </c>
      <c r="DU165" s="386"/>
      <c r="DV165" s="60">
        <v>1</v>
      </c>
      <c r="DW165" s="60">
        <v>2</v>
      </c>
      <c r="DX165" s="386">
        <v>1990</v>
      </c>
      <c r="DY165" s="386"/>
      <c r="DZ165" s="60">
        <v>2</v>
      </c>
      <c r="EA165" s="61">
        <f t="shared" si="35"/>
        <v>1</v>
      </c>
      <c r="EB165" s="61">
        <f t="shared" si="36"/>
        <v>1</v>
      </c>
      <c r="EC165" s="61">
        <f t="shared" si="26"/>
        <v>0</v>
      </c>
      <c r="ED165" s="386">
        <f t="shared" si="27"/>
        <v>0</v>
      </c>
      <c r="EE165" s="386"/>
      <c r="EF165" s="60">
        <f t="shared" si="28"/>
        <v>0</v>
      </c>
      <c r="EG165" s="386">
        <f t="shared" si="29"/>
        <v>0</v>
      </c>
      <c r="EH165" s="386"/>
      <c r="EI165" s="60">
        <f t="shared" si="30"/>
        <v>0</v>
      </c>
      <c r="EJ165" s="60">
        <f t="shared" si="31"/>
        <v>0</v>
      </c>
      <c r="EK165" s="386">
        <f t="shared" si="32"/>
        <v>0</v>
      </c>
      <c r="EL165" s="386"/>
      <c r="EM165" s="60">
        <f t="shared" si="33"/>
        <v>0</v>
      </c>
      <c r="EN165" s="386">
        <f>EC165*9999</f>
        <v>0</v>
      </c>
      <c r="EO165" s="386"/>
      <c r="EP165" s="386">
        <f>IF(ER165&lt;&gt;0,EC165*(ER165-1),0)</f>
        <v>0</v>
      </c>
      <c r="EQ165" s="386"/>
      <c r="ER165" s="385">
        <f t="shared" si="37"/>
        <v>0</v>
      </c>
      <c r="ES165" s="385"/>
      <c r="ET165" s="386">
        <f t="shared" si="34"/>
        <v>0</v>
      </c>
      <c r="EU165" s="386"/>
      <c r="EV165" s="82"/>
      <c r="EW165" s="82"/>
      <c r="EX165" s="172"/>
      <c r="EY165" s="172"/>
      <c r="EZ165" s="172"/>
      <c r="FA165" s="172"/>
      <c r="FB165" s="172"/>
      <c r="FC165" s="242"/>
      <c r="FD165" s="243"/>
    </row>
    <row r="166" spans="1:160" s="5" customFormat="1" ht="12" hidden="1">
      <c r="A166" s="156">
        <f t="shared" si="0"/>
        <v>1</v>
      </c>
      <c r="B166" s="67"/>
      <c r="E166" s="431">
        <f t="shared" si="39"/>
        <v>42005</v>
      </c>
      <c r="F166" s="431"/>
      <c r="G166" s="431"/>
      <c r="H166" s="431"/>
      <c r="I166" s="431">
        <f t="shared" si="42"/>
        <v>0</v>
      </c>
      <c r="J166" s="431"/>
      <c r="K166" s="431"/>
      <c r="L166" s="431"/>
      <c r="M166" s="431">
        <f t="shared" si="43"/>
        <v>0</v>
      </c>
      <c r="N166" s="431"/>
      <c r="O166" s="431"/>
      <c r="P166" s="431"/>
      <c r="Q166" s="501">
        <v>42004</v>
      </c>
      <c r="R166" s="501"/>
      <c r="S166" s="501"/>
      <c r="T166" s="501"/>
      <c r="U166" s="501"/>
      <c r="V166" s="431">
        <f t="shared" si="40"/>
        <v>42004</v>
      </c>
      <c r="W166" s="431"/>
      <c r="X166" s="431"/>
      <c r="Y166" s="431"/>
      <c r="Z166" s="4" t="s">
        <v>151</v>
      </c>
      <c r="AA166" s="431">
        <f t="shared" si="44"/>
        <v>0</v>
      </c>
      <c r="AB166" s="431"/>
      <c r="AC166" s="431"/>
      <c r="AD166" s="431">
        <f t="shared" si="45"/>
        <v>365</v>
      </c>
      <c r="AE166" s="431"/>
      <c r="AF166" s="431"/>
      <c r="AG166" s="502">
        <v>0.01</v>
      </c>
      <c r="AH166" s="503"/>
      <c r="AI166" s="504">
        <f t="shared" si="46"/>
        <v>0</v>
      </c>
      <c r="AJ166" s="504"/>
      <c r="AK166" s="504"/>
      <c r="AL166" s="504"/>
      <c r="AM166" s="504"/>
      <c r="AN166" s="509">
        <f t="shared" si="41"/>
        <v>0</v>
      </c>
      <c r="AO166" s="509"/>
      <c r="AP166" s="509"/>
      <c r="AQ166" s="509"/>
      <c r="AR166" s="510"/>
      <c r="AT166" s="517"/>
      <c r="AU166" s="517"/>
      <c r="AV166" s="517"/>
      <c r="AW166" s="517"/>
      <c r="AX166" s="517"/>
      <c r="AY166" s="517"/>
      <c r="AZ166" s="372" t="s">
        <v>159</v>
      </c>
      <c r="BA166" s="159"/>
      <c r="BB166" s="159"/>
      <c r="BC166" s="159"/>
      <c r="BD166" s="159"/>
      <c r="BE166" s="156"/>
      <c r="CJ166"/>
      <c r="CK166"/>
      <c r="CL166"/>
      <c r="CM166"/>
      <c r="CN166"/>
      <c r="CO166"/>
      <c r="CP166"/>
      <c r="CQ166"/>
      <c r="CR166"/>
      <c r="CS166"/>
      <c r="CT166"/>
      <c r="CU166"/>
      <c r="CV166"/>
      <c r="CW166"/>
      <c r="CX166"/>
      <c r="CY166"/>
      <c r="CZ166"/>
      <c r="DA166"/>
      <c r="DB166"/>
      <c r="DC166"/>
      <c r="DD166" s="59" t="s">
        <v>14</v>
      </c>
      <c r="DE166" s="59"/>
      <c r="DF166" s="59"/>
      <c r="DG166" s="59"/>
      <c r="DH166" s="59"/>
      <c r="DI166" s="59"/>
      <c r="DJ166" s="59"/>
      <c r="DK166" s="59"/>
      <c r="DL166" s="59"/>
      <c r="DM166" s="59"/>
      <c r="DN166" s="59"/>
      <c r="DO166" s="59"/>
      <c r="DP166" s="59"/>
      <c r="DQ166" s="386"/>
      <c r="DR166" s="386"/>
      <c r="DS166" s="60"/>
      <c r="DT166" s="386"/>
      <c r="DU166" s="386"/>
      <c r="DV166" s="60"/>
      <c r="DW166" s="60"/>
      <c r="DX166" s="386"/>
      <c r="DY166" s="386"/>
      <c r="DZ166" s="60"/>
      <c r="EA166" s="61"/>
      <c r="EB166" s="61"/>
      <c r="EC166" s="61"/>
      <c r="ED166" s="386"/>
      <c r="EE166" s="386"/>
      <c r="EF166" s="60"/>
      <c r="EG166" s="386"/>
      <c r="EH166" s="386"/>
      <c r="EI166" s="60"/>
      <c r="EJ166" s="60"/>
      <c r="EK166" s="386"/>
      <c r="EL166" s="386"/>
      <c r="EM166" s="60"/>
      <c r="EN166" s="386"/>
      <c r="EO166" s="386"/>
      <c r="EP166" s="386"/>
      <c r="EQ166" s="386"/>
      <c r="ER166" s="385"/>
      <c r="ES166" s="385"/>
      <c r="ET166" s="386"/>
      <c r="EU166" s="386"/>
      <c r="EV166" s="82"/>
      <c r="EW166" s="82"/>
      <c r="EX166" s="172"/>
      <c r="EY166" s="172"/>
      <c r="EZ166" s="172"/>
      <c r="FA166" s="172"/>
      <c r="FB166" s="172"/>
      <c r="FC166" s="242"/>
      <c r="FD166" s="243"/>
    </row>
    <row r="167" spans="1:160" s="5" customFormat="1" ht="12" hidden="1">
      <c r="A167" s="156">
        <f t="shared" si="0"/>
        <v>1</v>
      </c>
      <c r="B167" s="67"/>
      <c r="E167" s="431">
        <f t="shared" si="39"/>
        <v>42005</v>
      </c>
      <c r="F167" s="431"/>
      <c r="G167" s="431"/>
      <c r="H167" s="431"/>
      <c r="I167" s="431">
        <f t="shared" si="42"/>
        <v>0</v>
      </c>
      <c r="J167" s="431"/>
      <c r="K167" s="431"/>
      <c r="L167" s="431"/>
      <c r="M167" s="431">
        <f t="shared" si="43"/>
        <v>0</v>
      </c>
      <c r="N167" s="431"/>
      <c r="O167" s="431"/>
      <c r="P167" s="431"/>
      <c r="Q167" s="501">
        <v>42369</v>
      </c>
      <c r="R167" s="501"/>
      <c r="S167" s="501"/>
      <c r="T167" s="501"/>
      <c r="U167" s="501"/>
      <c r="V167" s="431">
        <f t="shared" si="40"/>
        <v>42369</v>
      </c>
      <c r="W167" s="431"/>
      <c r="X167" s="431"/>
      <c r="Y167" s="431"/>
      <c r="Z167" s="4" t="s">
        <v>151</v>
      </c>
      <c r="AA167" s="431">
        <f t="shared" si="44"/>
        <v>0</v>
      </c>
      <c r="AB167" s="431"/>
      <c r="AC167" s="431"/>
      <c r="AD167" s="431">
        <f t="shared" si="45"/>
        <v>365</v>
      </c>
      <c r="AE167" s="431"/>
      <c r="AF167" s="431"/>
      <c r="AG167" s="502">
        <v>0.005</v>
      </c>
      <c r="AH167" s="503"/>
      <c r="AI167" s="504">
        <f t="shared" si="46"/>
        <v>0</v>
      </c>
      <c r="AJ167" s="504"/>
      <c r="AK167" s="504"/>
      <c r="AL167" s="504"/>
      <c r="AM167" s="504"/>
      <c r="AN167" s="509">
        <f t="shared" si="41"/>
        <v>0</v>
      </c>
      <c r="AO167" s="509"/>
      <c r="AP167" s="509"/>
      <c r="AQ167" s="509"/>
      <c r="AR167" s="510"/>
      <c r="AT167" s="506">
        <f aca="true" t="shared" si="47" ref="AT167:AT172">MAX(Q166+1,I167)</f>
        <v>42005</v>
      </c>
      <c r="AU167" s="506"/>
      <c r="AV167" s="506"/>
      <c r="AW167" s="506">
        <f aca="true" t="shared" si="48" ref="AW167:AW172">MIN(Q167,M167)</f>
        <v>0</v>
      </c>
      <c r="AX167" s="506"/>
      <c r="AY167" s="506"/>
      <c r="AZ167" s="372" t="s">
        <v>160</v>
      </c>
      <c r="BA167" s="159"/>
      <c r="BB167" s="159"/>
      <c r="BC167" s="159"/>
      <c r="BD167" s="159"/>
      <c r="BE167" s="224">
        <f>IF(AN167=0,0,1)</f>
        <v>0</v>
      </c>
      <c r="CJ167" t="s">
        <v>14</v>
      </c>
      <c r="CK167"/>
      <c r="CL167"/>
      <c r="CM167"/>
      <c r="CN167"/>
      <c r="CO167"/>
      <c r="CP167"/>
      <c r="CQ167"/>
      <c r="CR167"/>
      <c r="CS167"/>
      <c r="CT167"/>
      <c r="CU167"/>
      <c r="CV167"/>
      <c r="CW167"/>
      <c r="CX167"/>
      <c r="CY167"/>
      <c r="CZ167"/>
      <c r="DA167"/>
      <c r="DB167"/>
      <c r="DC167"/>
      <c r="DD167" s="59" t="s">
        <v>14</v>
      </c>
      <c r="DE167" s="59"/>
      <c r="DF167" s="59"/>
      <c r="DG167" s="59"/>
      <c r="DH167" s="59"/>
      <c r="DI167" s="59"/>
      <c r="DJ167" s="59"/>
      <c r="DK167" s="59"/>
      <c r="DL167" s="59"/>
      <c r="DM167" s="59"/>
      <c r="DN167" s="59"/>
      <c r="DO167" s="59"/>
      <c r="DP167" s="59"/>
      <c r="DQ167" s="386"/>
      <c r="DR167" s="386"/>
      <c r="DS167" s="60"/>
      <c r="DT167" s="386"/>
      <c r="DU167" s="386"/>
      <c r="DV167" s="60"/>
      <c r="DW167" s="60"/>
      <c r="DX167" s="386"/>
      <c r="DY167" s="386"/>
      <c r="DZ167" s="60"/>
      <c r="EA167" s="61"/>
      <c r="EB167" s="61"/>
      <c r="EC167" s="61"/>
      <c r="ED167" s="386"/>
      <c r="EE167" s="386"/>
      <c r="EF167" s="60"/>
      <c r="EG167" s="386"/>
      <c r="EH167" s="386"/>
      <c r="EI167" s="60"/>
      <c r="EJ167" s="60"/>
      <c r="EK167" s="386"/>
      <c r="EL167" s="386"/>
      <c r="EM167" s="60"/>
      <c r="EN167" s="386"/>
      <c r="EO167" s="386"/>
      <c r="EP167" s="386"/>
      <c r="EQ167" s="386"/>
      <c r="ER167" s="385"/>
      <c r="ES167" s="385"/>
      <c r="ET167" s="386"/>
      <c r="EU167" s="386"/>
      <c r="EV167" s="82"/>
      <c r="EW167" s="82"/>
      <c r="EX167" s="82"/>
      <c r="EY167" s="82"/>
      <c r="EZ167" s="82"/>
      <c r="FA167" s="82"/>
      <c r="FB167" s="82"/>
      <c r="FC167" s="242"/>
      <c r="FD167" s="243"/>
    </row>
    <row r="168" spans="1:160" s="5" customFormat="1" ht="12" hidden="1">
      <c r="A168" s="156">
        <f t="shared" si="0"/>
        <v>1</v>
      </c>
      <c r="B168" s="67"/>
      <c r="E168" s="431">
        <f t="shared" si="39"/>
        <v>42005</v>
      </c>
      <c r="F168" s="431"/>
      <c r="G168" s="431"/>
      <c r="H168" s="431"/>
      <c r="I168" s="431">
        <f t="shared" si="42"/>
        <v>0</v>
      </c>
      <c r="J168" s="431"/>
      <c r="K168" s="431"/>
      <c r="L168" s="431"/>
      <c r="M168" s="431">
        <f t="shared" si="43"/>
        <v>0</v>
      </c>
      <c r="N168" s="431"/>
      <c r="O168" s="431"/>
      <c r="P168" s="431"/>
      <c r="Q168" s="501">
        <v>42735</v>
      </c>
      <c r="R168" s="501"/>
      <c r="S168" s="501"/>
      <c r="T168" s="501"/>
      <c r="U168" s="501"/>
      <c r="V168" s="431">
        <f t="shared" si="40"/>
        <v>42735</v>
      </c>
      <c r="W168" s="431"/>
      <c r="X168" s="431"/>
      <c r="Y168" s="431"/>
      <c r="Z168" s="4" t="s">
        <v>151</v>
      </c>
      <c r="AA168" s="431">
        <f t="shared" si="44"/>
        <v>0</v>
      </c>
      <c r="AB168" s="431"/>
      <c r="AC168" s="431"/>
      <c r="AD168" s="431">
        <f t="shared" si="45"/>
        <v>365</v>
      </c>
      <c r="AE168" s="431"/>
      <c r="AF168" s="431"/>
      <c r="AG168" s="502">
        <v>0.002</v>
      </c>
      <c r="AH168" s="503"/>
      <c r="AI168" s="512">
        <f t="shared" si="46"/>
        <v>0</v>
      </c>
      <c r="AJ168" s="512"/>
      <c r="AK168" s="512"/>
      <c r="AL168" s="512"/>
      <c r="AM168" s="512"/>
      <c r="AN168" s="515">
        <f t="shared" si="41"/>
        <v>0</v>
      </c>
      <c r="AO168" s="515"/>
      <c r="AP168" s="515"/>
      <c r="AQ168" s="515"/>
      <c r="AR168" s="516"/>
      <c r="AT168" s="506">
        <f t="shared" si="47"/>
        <v>42370</v>
      </c>
      <c r="AU168" s="506"/>
      <c r="AV168" s="506"/>
      <c r="AW168" s="506">
        <f t="shared" si="48"/>
        <v>0</v>
      </c>
      <c r="AX168" s="506"/>
      <c r="AY168" s="506"/>
      <c r="AZ168" s="372" t="s">
        <v>161</v>
      </c>
      <c r="BA168" s="159"/>
      <c r="BB168" s="159"/>
      <c r="BC168" s="159"/>
      <c r="BD168" s="159"/>
      <c r="BE168" s="224">
        <f>IF(AN168=0,0,1)</f>
        <v>0</v>
      </c>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CB168" s="159"/>
      <c r="CC168" s="159"/>
      <c r="CD168" s="159"/>
      <c r="CE168" s="159"/>
      <c r="CF168" s="159"/>
      <c r="CG168" s="159"/>
      <c r="CH168" s="159"/>
      <c r="CI168" s="159"/>
      <c r="CJ168"/>
      <c r="CK168"/>
      <c r="CL168"/>
      <c r="CM168"/>
      <c r="CN168"/>
      <c r="CO168"/>
      <c r="CP168"/>
      <c r="CQ168"/>
      <c r="CR168"/>
      <c r="CS168"/>
      <c r="CT168"/>
      <c r="CU168"/>
      <c r="CV168"/>
      <c r="CW168"/>
      <c r="CX168"/>
      <c r="CY168"/>
      <c r="CZ168"/>
      <c r="DA168"/>
      <c r="DB168"/>
      <c r="DC168"/>
      <c r="DD168" s="59" t="s">
        <v>14</v>
      </c>
      <c r="DE168" s="59"/>
      <c r="DF168" s="59"/>
      <c r="DG168" s="59"/>
      <c r="DH168" s="59"/>
      <c r="DI168" s="59"/>
      <c r="DJ168" s="59"/>
      <c r="DK168" s="59"/>
      <c r="DL168" s="59"/>
      <c r="DM168" s="59"/>
      <c r="DN168" s="59"/>
      <c r="DO168" s="59"/>
      <c r="DP168" s="59"/>
      <c r="DQ168" s="386"/>
      <c r="DR168" s="386"/>
      <c r="DS168" s="60"/>
      <c r="DT168" s="386"/>
      <c r="DU168" s="386"/>
      <c r="DV168" s="60"/>
      <c r="DW168" s="60"/>
      <c r="DX168" s="386"/>
      <c r="DY168" s="386"/>
      <c r="DZ168" s="60"/>
      <c r="EA168" s="61"/>
      <c r="EB168" s="61"/>
      <c r="EC168" s="61"/>
      <c r="ED168" s="386"/>
      <c r="EE168" s="386"/>
      <c r="EF168" s="60"/>
      <c r="EG168" s="386"/>
      <c r="EH168" s="386"/>
      <c r="EI168" s="60"/>
      <c r="EJ168" s="60"/>
      <c r="EK168" s="386"/>
      <c r="EL168" s="386"/>
      <c r="EM168" s="60"/>
      <c r="EN168" s="386"/>
      <c r="EO168" s="386"/>
      <c r="EP168" s="386"/>
      <c r="EQ168" s="386"/>
      <c r="ER168" s="385"/>
      <c r="ES168" s="385"/>
      <c r="ET168" s="386"/>
      <c r="EU168" s="386"/>
      <c r="EV168" s="82"/>
      <c r="EW168" s="82"/>
      <c r="EX168" s="82"/>
      <c r="EY168" s="82"/>
      <c r="EZ168" s="82"/>
      <c r="FA168" s="82"/>
      <c r="FB168" s="82"/>
      <c r="FC168" s="242"/>
      <c r="FD168" s="243"/>
    </row>
    <row r="169" spans="1:160" s="5" customFormat="1" ht="12" hidden="1">
      <c r="A169" s="156">
        <f t="shared" si="0"/>
        <v>1</v>
      </c>
      <c r="E169" s="431">
        <f t="shared" si="39"/>
        <v>42005</v>
      </c>
      <c r="F169" s="431"/>
      <c r="G169" s="431"/>
      <c r="H169" s="431"/>
      <c r="I169" s="431">
        <f t="shared" si="42"/>
        <v>0</v>
      </c>
      <c r="J169" s="431"/>
      <c r="K169" s="431"/>
      <c r="L169" s="431"/>
      <c r="M169" s="431">
        <f t="shared" si="43"/>
        <v>0</v>
      </c>
      <c r="N169" s="431"/>
      <c r="O169" s="431"/>
      <c r="P169" s="431"/>
      <c r="Q169" s="501">
        <v>43100</v>
      </c>
      <c r="R169" s="501"/>
      <c r="S169" s="501"/>
      <c r="T169" s="501"/>
      <c r="U169" s="501"/>
      <c r="V169" s="431">
        <f t="shared" si="40"/>
        <v>43100</v>
      </c>
      <c r="W169" s="431"/>
      <c r="X169" s="431"/>
      <c r="Y169" s="431"/>
      <c r="Z169" s="4" t="s">
        <v>151</v>
      </c>
      <c r="AA169" s="431">
        <f t="shared" si="44"/>
        <v>0</v>
      </c>
      <c r="AB169" s="431"/>
      <c r="AC169" s="431"/>
      <c r="AD169" s="431">
        <f t="shared" si="45"/>
        <v>365</v>
      </c>
      <c r="AE169" s="431"/>
      <c r="AF169" s="431"/>
      <c r="AG169" s="502">
        <v>0.001</v>
      </c>
      <c r="AH169" s="503"/>
      <c r="AI169" s="504">
        <f t="shared" si="46"/>
        <v>0</v>
      </c>
      <c r="AJ169" s="504"/>
      <c r="AK169" s="504"/>
      <c r="AL169" s="504"/>
      <c r="AM169" s="504"/>
      <c r="AN169" s="509">
        <f t="shared" si="41"/>
        <v>0</v>
      </c>
      <c r="AO169" s="509"/>
      <c r="AP169" s="509"/>
      <c r="AQ169" s="509"/>
      <c r="AR169" s="510"/>
      <c r="AT169" s="506">
        <f t="shared" si="47"/>
        <v>42736</v>
      </c>
      <c r="AU169" s="506"/>
      <c r="AV169" s="506"/>
      <c r="AW169" s="506">
        <f t="shared" si="48"/>
        <v>0</v>
      </c>
      <c r="AX169" s="506"/>
      <c r="AY169" s="506"/>
      <c r="AZ169" s="372" t="s">
        <v>162</v>
      </c>
      <c r="BA169" s="159"/>
      <c r="BB169" s="159"/>
      <c r="BC169" s="159"/>
      <c r="BD169" s="159"/>
      <c r="BE169" s="224">
        <f>IF(AN169=0,0,BE168+1)</f>
        <v>0</v>
      </c>
      <c r="CJ169"/>
      <c r="CK169"/>
      <c r="CL169"/>
      <c r="CM169"/>
      <c r="CN169"/>
      <c r="CO169"/>
      <c r="CP169"/>
      <c r="CQ169"/>
      <c r="CR169"/>
      <c r="CS169"/>
      <c r="CT169"/>
      <c r="CU169"/>
      <c r="CV169"/>
      <c r="CW169"/>
      <c r="CX169"/>
      <c r="CY169"/>
      <c r="CZ169"/>
      <c r="DA169"/>
      <c r="DB169"/>
      <c r="DC169"/>
      <c r="DD169" s="59" t="s">
        <v>14</v>
      </c>
      <c r="DE169" s="59"/>
      <c r="DF169" s="59"/>
      <c r="DG169" s="59"/>
      <c r="DH169" s="59"/>
      <c r="DI169" s="59"/>
      <c r="DJ169" s="59"/>
      <c r="DK169" s="59"/>
      <c r="DL169" s="59"/>
      <c r="DM169" s="59"/>
      <c r="DN169" s="59"/>
      <c r="DO169" s="59"/>
      <c r="DP169" s="59"/>
      <c r="DQ169" s="386"/>
      <c r="DR169" s="386"/>
      <c r="DS169" s="60"/>
      <c r="DT169" s="386"/>
      <c r="DU169" s="386"/>
      <c r="DV169" s="60"/>
      <c r="DW169" s="60"/>
      <c r="DX169" s="386"/>
      <c r="DY169" s="386"/>
      <c r="DZ169" s="60"/>
      <c r="EA169" s="61"/>
      <c r="EB169" s="61"/>
      <c r="EC169" s="61"/>
      <c r="ED169" s="386"/>
      <c r="EE169" s="386"/>
      <c r="EF169" s="60"/>
      <c r="EG169" s="386"/>
      <c r="EH169" s="386"/>
      <c r="EI169" s="60"/>
      <c r="EJ169" s="60"/>
      <c r="EK169" s="386"/>
      <c r="EL169" s="386"/>
      <c r="EM169" s="60"/>
      <c r="EN169" s="386"/>
      <c r="EO169" s="386"/>
      <c r="EP169" s="386"/>
      <c r="EQ169" s="386"/>
      <c r="ER169" s="385"/>
      <c r="ES169" s="385"/>
      <c r="ET169" s="386"/>
      <c r="EU169" s="386"/>
      <c r="EV169" s="82"/>
      <c r="EW169" s="82"/>
      <c r="EX169" s="82"/>
      <c r="EY169" s="82"/>
      <c r="EZ169" s="82"/>
      <c r="FA169" s="82"/>
      <c r="FB169" s="82"/>
      <c r="FC169" s="242"/>
      <c r="FD169" s="243"/>
    </row>
    <row r="170" spans="1:160" s="5" customFormat="1" ht="12" hidden="1">
      <c r="A170" s="156">
        <f aca="true" t="shared" si="49" ref="A170:A233">A169</f>
        <v>1</v>
      </c>
      <c r="E170" s="431">
        <f t="shared" si="39"/>
        <v>42005</v>
      </c>
      <c r="F170" s="431"/>
      <c r="G170" s="431"/>
      <c r="H170" s="431"/>
      <c r="I170" s="431">
        <f t="shared" si="42"/>
        <v>0</v>
      </c>
      <c r="J170" s="431"/>
      <c r="K170" s="431"/>
      <c r="L170" s="431"/>
      <c r="M170" s="431">
        <f t="shared" si="43"/>
        <v>0</v>
      </c>
      <c r="N170" s="431"/>
      <c r="O170" s="431"/>
      <c r="P170" s="431"/>
      <c r="Q170" s="501">
        <v>43465</v>
      </c>
      <c r="R170" s="501"/>
      <c r="S170" s="501"/>
      <c r="T170" s="501"/>
      <c r="U170" s="501"/>
      <c r="V170" s="431">
        <f t="shared" si="40"/>
        <v>43465</v>
      </c>
      <c r="W170" s="431"/>
      <c r="X170" s="431"/>
      <c r="Y170" s="431"/>
      <c r="Z170" s="4" t="s">
        <v>151</v>
      </c>
      <c r="AA170" s="431">
        <f t="shared" si="44"/>
        <v>0</v>
      </c>
      <c r="AB170" s="431"/>
      <c r="AC170" s="431"/>
      <c r="AD170" s="431">
        <f t="shared" si="45"/>
        <v>365</v>
      </c>
      <c r="AE170" s="431"/>
      <c r="AF170" s="431"/>
      <c r="AG170" s="502">
        <v>0.003</v>
      </c>
      <c r="AH170" s="503"/>
      <c r="AI170" s="504">
        <f t="shared" si="46"/>
        <v>0</v>
      </c>
      <c r="AJ170" s="504"/>
      <c r="AK170" s="504"/>
      <c r="AL170" s="504"/>
      <c r="AM170" s="504"/>
      <c r="AN170" s="509">
        <f t="shared" si="41"/>
        <v>0</v>
      </c>
      <c r="AO170" s="509"/>
      <c r="AP170" s="509"/>
      <c r="AQ170" s="509"/>
      <c r="AR170" s="510"/>
      <c r="AT170" s="506">
        <f t="shared" si="47"/>
        <v>43101</v>
      </c>
      <c r="AU170" s="506"/>
      <c r="AV170" s="506"/>
      <c r="AW170" s="506">
        <f t="shared" si="48"/>
        <v>0</v>
      </c>
      <c r="AX170" s="506"/>
      <c r="AY170" s="506"/>
      <c r="AZ170" s="372" t="s">
        <v>163</v>
      </c>
      <c r="BE170" s="224">
        <f>IF(AN170=0,0,BE169+1)</f>
        <v>0</v>
      </c>
      <c r="CJ170"/>
      <c r="CK170"/>
      <c r="CL170"/>
      <c r="CM170"/>
      <c r="CN170"/>
      <c r="CO170"/>
      <c r="CP170"/>
      <c r="CQ170"/>
      <c r="CR170"/>
      <c r="CS170"/>
      <c r="CT170"/>
      <c r="CU170"/>
      <c r="CV170"/>
      <c r="CW170"/>
      <c r="CX170"/>
      <c r="CY170"/>
      <c r="CZ170"/>
      <c r="DA170"/>
      <c r="DB170"/>
      <c r="DC170"/>
      <c r="DD170" s="59" t="s">
        <v>14</v>
      </c>
      <c r="DE170" s="59"/>
      <c r="DF170" s="59"/>
      <c r="DG170" s="59"/>
      <c r="DH170" s="59"/>
      <c r="DI170" s="59"/>
      <c r="DJ170" s="59"/>
      <c r="DK170" s="59"/>
      <c r="DL170" s="59"/>
      <c r="DM170" s="59"/>
      <c r="DN170" s="59"/>
      <c r="DO170" s="59"/>
      <c r="DP170" s="59"/>
      <c r="DQ170" s="386"/>
      <c r="DR170" s="386"/>
      <c r="DS170" s="60"/>
      <c r="DT170" s="386"/>
      <c r="DU170" s="386"/>
      <c r="DV170" s="60"/>
      <c r="DW170" s="60"/>
      <c r="DX170" s="386"/>
      <c r="DY170" s="386"/>
      <c r="DZ170" s="60"/>
      <c r="EA170" s="61"/>
      <c r="EB170" s="61"/>
      <c r="EC170" s="61"/>
      <c r="ED170" s="386"/>
      <c r="EE170" s="386"/>
      <c r="EF170" s="60"/>
      <c r="EG170" s="386"/>
      <c r="EH170" s="386"/>
      <c r="EI170" s="60"/>
      <c r="EJ170" s="60"/>
      <c r="EK170" s="386"/>
      <c r="EL170" s="386"/>
      <c r="EM170" s="60"/>
      <c r="EN170" s="386"/>
      <c r="EO170" s="386"/>
      <c r="EP170" s="386"/>
      <c r="EQ170" s="386"/>
      <c r="ER170" s="385"/>
      <c r="ES170" s="385"/>
      <c r="ET170" s="386"/>
      <c r="EU170" s="386"/>
      <c r="EV170" s="172"/>
      <c r="EW170" s="172"/>
      <c r="EX170" s="172"/>
      <c r="EY170" s="172"/>
      <c r="EZ170" s="172"/>
      <c r="FA170" s="172"/>
      <c r="FB170" s="82"/>
      <c r="FC170" s="242"/>
      <c r="FD170" s="243"/>
    </row>
    <row r="171" spans="1:160" s="5" customFormat="1" ht="12" hidden="1">
      <c r="A171" s="156">
        <f t="shared" si="49"/>
        <v>1</v>
      </c>
      <c r="E171" s="431">
        <f t="shared" si="39"/>
        <v>42005</v>
      </c>
      <c r="F171" s="431"/>
      <c r="G171" s="431"/>
      <c r="H171" s="431"/>
      <c r="I171" s="431">
        <f t="shared" si="42"/>
        <v>0</v>
      </c>
      <c r="J171" s="431"/>
      <c r="K171" s="431"/>
      <c r="L171" s="431"/>
      <c r="M171" s="431">
        <f t="shared" si="43"/>
        <v>0</v>
      </c>
      <c r="N171" s="431"/>
      <c r="O171" s="431"/>
      <c r="P171" s="431"/>
      <c r="Q171" s="501">
        <v>43830</v>
      </c>
      <c r="R171" s="501"/>
      <c r="S171" s="501"/>
      <c r="T171" s="501"/>
      <c r="U171" s="501"/>
      <c r="V171" s="431">
        <f t="shared" si="40"/>
        <v>43830</v>
      </c>
      <c r="W171" s="431"/>
      <c r="X171" s="431"/>
      <c r="Y171" s="431"/>
      <c r="Z171" s="4" t="s">
        <v>151</v>
      </c>
      <c r="AA171" s="431">
        <f t="shared" si="44"/>
        <v>0</v>
      </c>
      <c r="AB171" s="431"/>
      <c r="AC171" s="431"/>
      <c r="AD171" s="431">
        <f t="shared" si="45"/>
        <v>365</v>
      </c>
      <c r="AE171" s="431"/>
      <c r="AF171" s="431"/>
      <c r="AG171" s="502">
        <v>0.008</v>
      </c>
      <c r="AH171" s="503"/>
      <c r="AI171" s="504">
        <f t="shared" si="46"/>
        <v>0</v>
      </c>
      <c r="AJ171" s="504"/>
      <c r="AK171" s="504"/>
      <c r="AL171" s="504"/>
      <c r="AM171" s="504"/>
      <c r="AN171" s="509">
        <f t="shared" si="41"/>
        <v>0</v>
      </c>
      <c r="AO171" s="509"/>
      <c r="AP171" s="509"/>
      <c r="AQ171" s="509"/>
      <c r="AR171" s="510"/>
      <c r="AT171" s="506">
        <f t="shared" si="47"/>
        <v>43466</v>
      </c>
      <c r="AU171" s="506"/>
      <c r="AV171" s="506"/>
      <c r="AW171" s="506">
        <f t="shared" si="48"/>
        <v>0</v>
      </c>
      <c r="AX171" s="506"/>
      <c r="AY171" s="506"/>
      <c r="AZ171" s="372" t="s">
        <v>164</v>
      </c>
      <c r="BE171" s="224">
        <f>IF(AN171=0,0,BE170+1)</f>
        <v>0</v>
      </c>
      <c r="CJ171" t="s">
        <v>14</v>
      </c>
      <c r="CK171"/>
      <c r="CL171"/>
      <c r="CM171"/>
      <c r="CN171"/>
      <c r="CO171"/>
      <c r="CP171"/>
      <c r="CQ171"/>
      <c r="CR171"/>
      <c r="CS171"/>
      <c r="CT171"/>
      <c r="CU171"/>
      <c r="CV171"/>
      <c r="CW171"/>
      <c r="CX171"/>
      <c r="CY171"/>
      <c r="CZ171"/>
      <c r="DA171"/>
      <c r="DB171"/>
      <c r="DC171"/>
      <c r="DD171" s="59" t="s">
        <v>14</v>
      </c>
      <c r="DE171" s="59"/>
      <c r="DF171" s="59"/>
      <c r="DG171" s="59"/>
      <c r="DH171" s="59"/>
      <c r="DI171" s="59"/>
      <c r="DJ171" s="59"/>
      <c r="DK171" s="59"/>
      <c r="DL171" s="59"/>
      <c r="DM171" s="59"/>
      <c r="DN171" s="59"/>
      <c r="DO171" s="59"/>
      <c r="DP171" s="59"/>
      <c r="DQ171" s="170"/>
      <c r="DR171" s="170"/>
      <c r="DS171" s="170"/>
      <c r="DT171" s="170"/>
      <c r="DU171" s="170"/>
      <c r="DV171" s="170"/>
      <c r="DW171" s="170"/>
      <c r="DX171" s="170"/>
      <c r="DY171" s="170"/>
      <c r="DZ171" s="170"/>
      <c r="EA171" s="170"/>
      <c r="EB171" s="171"/>
      <c r="EC171" s="171"/>
      <c r="ED171" s="170"/>
      <c r="EE171" s="170"/>
      <c r="EF171" s="170"/>
      <c r="EG171" s="170"/>
      <c r="EH171" s="170"/>
      <c r="EI171" s="170"/>
      <c r="EJ171" s="170"/>
      <c r="EK171" s="170"/>
      <c r="EL171" s="170"/>
      <c r="EM171" s="170"/>
      <c r="EN171" s="170"/>
      <c r="EO171" s="170"/>
      <c r="EP171" s="170"/>
      <c r="EQ171" s="170"/>
      <c r="ER171" s="389"/>
      <c r="ES171" s="389"/>
      <c r="ET171" s="384"/>
      <c r="EU171" s="384"/>
      <c r="EV171" s="172"/>
      <c r="EW171" s="172"/>
      <c r="EX171" s="172"/>
      <c r="EY171" s="172"/>
      <c r="EZ171" s="172"/>
      <c r="FA171" s="172"/>
      <c r="FB171" s="82"/>
      <c r="FC171" s="242"/>
      <c r="FD171" s="243"/>
    </row>
    <row r="172" spans="1:160" s="5" customFormat="1" ht="12" hidden="1">
      <c r="A172" s="156">
        <f t="shared" si="49"/>
        <v>1</v>
      </c>
      <c r="E172" s="431">
        <f t="shared" si="39"/>
        <v>42005</v>
      </c>
      <c r="F172" s="431"/>
      <c r="G172" s="431"/>
      <c r="H172" s="431"/>
      <c r="I172" s="431">
        <f t="shared" si="42"/>
        <v>0</v>
      </c>
      <c r="J172" s="431"/>
      <c r="K172" s="431"/>
      <c r="L172" s="431"/>
      <c r="M172" s="431">
        <f t="shared" si="43"/>
        <v>0</v>
      </c>
      <c r="N172" s="431"/>
      <c r="O172" s="431"/>
      <c r="P172" s="431"/>
      <c r="Q172" s="501">
        <v>44196</v>
      </c>
      <c r="R172" s="501"/>
      <c r="S172" s="501"/>
      <c r="T172" s="501"/>
      <c r="U172" s="501"/>
      <c r="V172" s="431">
        <f t="shared" si="40"/>
        <v>44196</v>
      </c>
      <c r="W172" s="431"/>
      <c r="X172" s="431"/>
      <c r="Y172" s="431"/>
      <c r="Z172" s="4" t="s">
        <v>151</v>
      </c>
      <c r="AA172" s="431">
        <f t="shared" si="44"/>
        <v>0</v>
      </c>
      <c r="AB172" s="431"/>
      <c r="AC172" s="431"/>
      <c r="AD172" s="431">
        <f t="shared" si="45"/>
        <v>365</v>
      </c>
      <c r="AE172" s="431"/>
      <c r="AF172" s="431"/>
      <c r="AG172" s="502">
        <v>0.0005</v>
      </c>
      <c r="AH172" s="503"/>
      <c r="AI172" s="504">
        <f t="shared" si="46"/>
        <v>0</v>
      </c>
      <c r="AJ172" s="504"/>
      <c r="AK172" s="504"/>
      <c r="AL172" s="504"/>
      <c r="AM172" s="504"/>
      <c r="AN172" s="509">
        <f t="shared" si="41"/>
        <v>0</v>
      </c>
      <c r="AO172" s="509"/>
      <c r="AP172" s="509"/>
      <c r="AQ172" s="509"/>
      <c r="AR172" s="510"/>
      <c r="AT172" s="506">
        <f t="shared" si="47"/>
        <v>43831</v>
      </c>
      <c r="AU172" s="506"/>
      <c r="AV172" s="506"/>
      <c r="AW172" s="506">
        <f t="shared" si="48"/>
        <v>0</v>
      </c>
      <c r="AX172" s="506"/>
      <c r="AY172" s="506"/>
      <c r="AZ172" s="372" t="s">
        <v>165</v>
      </c>
      <c r="BE172" s="224">
        <f>IF(AN172=0,0,BE171+1)</f>
        <v>0</v>
      </c>
      <c r="CJ172"/>
      <c r="CK172"/>
      <c r="CL172"/>
      <c r="CM172"/>
      <c r="CN172"/>
      <c r="CO172"/>
      <c r="CP172"/>
      <c r="CQ172"/>
      <c r="CR172"/>
      <c r="CS172"/>
      <c r="CT172"/>
      <c r="CU172"/>
      <c r="CV172"/>
      <c r="CW172"/>
      <c r="CX172"/>
      <c r="CY172"/>
      <c r="CZ172"/>
      <c r="DA172"/>
      <c r="DB172"/>
      <c r="DC172"/>
      <c r="DD172" s="59" t="s">
        <v>14</v>
      </c>
      <c r="DE172" s="59"/>
      <c r="DF172" s="59"/>
      <c r="DG172" s="59"/>
      <c r="DH172" s="59"/>
      <c r="DI172" s="59"/>
      <c r="DJ172" s="59"/>
      <c r="DK172" s="59"/>
      <c r="DL172" s="59"/>
      <c r="DM172" s="59"/>
      <c r="DN172" s="59"/>
      <c r="DO172" s="59"/>
      <c r="DP172" s="59"/>
      <c r="DQ172" s="170"/>
      <c r="DR172" s="170"/>
      <c r="DS172" s="170"/>
      <c r="DT172" s="170"/>
      <c r="DU172" s="170"/>
      <c r="DV172" s="170"/>
      <c r="DW172" s="170"/>
      <c r="DX172" s="170"/>
      <c r="DY172" s="170"/>
      <c r="DZ172" s="170"/>
      <c r="EA172" s="170"/>
      <c r="EB172" s="171"/>
      <c r="EC172" s="171"/>
      <c r="ED172" s="170"/>
      <c r="EE172" s="170"/>
      <c r="EF172" s="170"/>
      <c r="EG172" s="170"/>
      <c r="EH172" s="170"/>
      <c r="EI172" s="170"/>
      <c r="EJ172" s="170"/>
      <c r="EK172" s="170"/>
      <c r="EL172" s="170"/>
      <c r="EM172" s="170"/>
      <c r="EN172" s="170"/>
      <c r="EO172" s="170"/>
      <c r="EP172" s="170"/>
      <c r="EQ172" s="170"/>
      <c r="ER172" s="389"/>
      <c r="ES172" s="389"/>
      <c r="ET172" s="384"/>
      <c r="EU172" s="384"/>
      <c r="EV172" s="172"/>
      <c r="EW172" s="172"/>
      <c r="EX172" s="172"/>
      <c r="EY172" s="172"/>
      <c r="EZ172" s="172"/>
      <c r="FA172" s="172"/>
      <c r="FB172" s="82"/>
      <c r="FC172" s="242"/>
      <c r="FD172" s="243"/>
    </row>
    <row r="173" spans="1:160" s="5" customFormat="1" ht="12" hidden="1">
      <c r="A173" s="156">
        <f t="shared" si="49"/>
        <v>1</v>
      </c>
      <c r="B173" s="4"/>
      <c r="C173" s="4"/>
      <c r="D173" s="4"/>
      <c r="E173" s="4"/>
      <c r="F173" s="4"/>
      <c r="G173" s="4"/>
      <c r="H173" s="4"/>
      <c r="Q173" s="695"/>
      <c r="R173" s="695"/>
      <c r="S173" s="695"/>
      <c r="T173" s="695"/>
      <c r="U173" s="695"/>
      <c r="AA173" s="112"/>
      <c r="AB173" s="112"/>
      <c r="AC173" s="112"/>
      <c r="AN173" s="112"/>
      <c r="AO173" s="112"/>
      <c r="AP173" s="112"/>
      <c r="AQ173" s="112"/>
      <c r="AR173" s="112"/>
      <c r="CJ173"/>
      <c r="CK173"/>
      <c r="CL173"/>
      <c r="CM173"/>
      <c r="CN173"/>
      <c r="CO173"/>
      <c r="CP173"/>
      <c r="CQ173"/>
      <c r="CR173"/>
      <c r="CS173"/>
      <c r="CT173"/>
      <c r="CU173"/>
      <c r="CV173"/>
      <c r="CW173"/>
      <c r="CX173"/>
      <c r="CY173"/>
      <c r="CZ173"/>
      <c r="DA173"/>
      <c r="DB173"/>
      <c r="DC173"/>
      <c r="DD173" s="59" t="s">
        <v>14</v>
      </c>
      <c r="DE173" s="59"/>
      <c r="DF173" s="59"/>
      <c r="DG173" s="59"/>
      <c r="DH173" s="59"/>
      <c r="DI173" s="59"/>
      <c r="DJ173" s="59"/>
      <c r="DK173" s="59"/>
      <c r="DL173" s="59"/>
      <c r="DM173" s="59"/>
      <c r="DN173" s="59"/>
      <c r="DO173" s="59"/>
      <c r="DP173" s="59"/>
      <c r="DQ173" s="173"/>
      <c r="DR173" s="173"/>
      <c r="DS173" s="173"/>
      <c r="DT173" s="173"/>
      <c r="DU173" s="173"/>
      <c r="DV173" s="173"/>
      <c r="DW173" s="173"/>
      <c r="DX173" s="173"/>
      <c r="DY173" s="173"/>
      <c r="DZ173" s="173"/>
      <c r="EA173" s="173"/>
      <c r="EB173" s="174"/>
      <c r="EC173" s="174"/>
      <c r="ED173" s="173"/>
      <c r="EE173" s="173"/>
      <c r="EF173" s="173"/>
      <c r="EG173" s="173"/>
      <c r="EH173" s="173"/>
      <c r="EI173" s="173"/>
      <c r="EJ173" s="173"/>
      <c r="EK173" s="173"/>
      <c r="EL173" s="173"/>
      <c r="EM173" s="173"/>
      <c r="EN173" s="173"/>
      <c r="EO173" s="173"/>
      <c r="EP173" s="173"/>
      <c r="EQ173" s="173"/>
      <c r="ER173" s="390"/>
      <c r="ES173" s="390"/>
      <c r="ET173" s="391"/>
      <c r="EU173" s="391"/>
      <c r="EV173" s="164"/>
      <c r="EW173" s="164"/>
      <c r="EX173" s="164"/>
      <c r="EY173" s="164"/>
      <c r="EZ173" s="164"/>
      <c r="FA173" s="164"/>
      <c r="FB173" s="164"/>
      <c r="FC173" s="242"/>
      <c r="FD173" s="243"/>
    </row>
    <row r="174" spans="1:160" s="5" customFormat="1" ht="12" hidden="1">
      <c r="A174" s="156">
        <f t="shared" si="49"/>
        <v>1</v>
      </c>
      <c r="B174" s="4"/>
      <c r="C174" s="4"/>
      <c r="D174" s="4"/>
      <c r="E174" s="4"/>
      <c r="F174" s="4"/>
      <c r="G174" s="4"/>
      <c r="H174" s="4"/>
      <c r="K174" s="85"/>
      <c r="L174" s="85"/>
      <c r="M174" s="85"/>
      <c r="N174" s="85"/>
      <c r="O174" s="85"/>
      <c r="P174" s="99" t="s">
        <v>166</v>
      </c>
      <c r="Q174" s="662">
        <f>MIN(Q166,Q167,Q168,Q169,Q170,Q171,Q172,Q173)+1</f>
        <v>42005</v>
      </c>
      <c r="R174" s="662"/>
      <c r="S174" s="662"/>
      <c r="T174" s="662"/>
      <c r="U174" s="662"/>
      <c r="X174" s="134"/>
      <c r="Y174" s="134"/>
      <c r="Z174" s="135" t="s">
        <v>167</v>
      </c>
      <c r="AA174" s="697">
        <f>SUM(AA159:AC173)</f>
        <v>0</v>
      </c>
      <c r="AB174" s="698"/>
      <c r="AC174" s="698"/>
      <c r="AI174" s="134"/>
      <c r="AJ174" s="134"/>
      <c r="AK174" s="134"/>
      <c r="AL174" s="134"/>
      <c r="AM174" s="135" t="s">
        <v>168</v>
      </c>
      <c r="AN174" s="507">
        <f>SUM(AN159:AR173)</f>
        <v>0</v>
      </c>
      <c r="AO174" s="507"/>
      <c r="AP174" s="507"/>
      <c r="AQ174" s="507"/>
      <c r="AR174" s="507"/>
      <c r="CJ174"/>
      <c r="CK174"/>
      <c r="CL174"/>
      <c r="CM174"/>
      <c r="CN174"/>
      <c r="CO174"/>
      <c r="CP174"/>
      <c r="CQ174"/>
      <c r="CR174"/>
      <c r="CS174"/>
      <c r="CT174"/>
      <c r="CU174"/>
      <c r="CV174"/>
      <c r="CW174"/>
      <c r="CX174"/>
      <c r="CY174"/>
      <c r="CZ174"/>
      <c r="DA174"/>
      <c r="DB174"/>
      <c r="DC174"/>
      <c r="DD174" s="65"/>
      <c r="DE174" s="65"/>
      <c r="DF174" s="65"/>
      <c r="DG174" s="65"/>
      <c r="DH174" s="65"/>
      <c r="DI174" s="65"/>
      <c r="DJ174" s="65"/>
      <c r="DK174" s="65"/>
      <c r="DL174" s="65"/>
      <c r="DM174" s="65"/>
      <c r="DN174" s="65"/>
      <c r="DO174" s="65"/>
      <c r="DP174" s="65"/>
      <c r="DQ174" s="65"/>
      <c r="DR174" s="65"/>
      <c r="DS174" s="65"/>
      <c r="DT174" s="65"/>
      <c r="DU174" s="65"/>
      <c r="DV174" s="65"/>
      <c r="DW174" s="65"/>
      <c r="DX174" s="65"/>
      <c r="DY174" s="65"/>
      <c r="DZ174" s="65"/>
      <c r="EA174" s="65"/>
      <c r="EB174" s="66"/>
      <c r="EC174" s="66"/>
      <c r="ED174" s="386"/>
      <c r="EE174" s="386"/>
      <c r="EF174" s="60"/>
      <c r="EG174" s="386"/>
      <c r="EH174" s="386"/>
      <c r="EI174" s="60"/>
      <c r="EJ174" s="60"/>
      <c r="EK174" s="386"/>
      <c r="EL174" s="386"/>
      <c r="EM174" s="60"/>
      <c r="EN174" s="386"/>
      <c r="EO174" s="386"/>
      <c r="EP174" s="386"/>
      <c r="EQ174" s="386"/>
      <c r="ER174" s="387">
        <f>ER140</f>
        <v>43858</v>
      </c>
      <c r="ES174" s="388"/>
      <c r="ET174" s="386">
        <f>SUM(ET144:EU173)</f>
        <v>0</v>
      </c>
      <c r="EU174" s="386"/>
      <c r="EV174" s="386">
        <f>IF(ER174="",0,IF(ET174=0,0,IF(ET174&lt;EV142,FE144,IF(ET174=EV142,IF(ER174&gt;FE148,FE144,FE145),0))))</f>
        <v>0</v>
      </c>
      <c r="EW174" s="386"/>
      <c r="EX174" s="386">
        <f>IF(ER174="",0,IF(ET174=EX142,IF(ER174&gt;FE148,FE145,FE146),0))</f>
        <v>0</v>
      </c>
      <c r="EY174" s="386"/>
      <c r="EZ174" s="386">
        <f>IF(ER174="",0,IF(ET174=EZ142,FE146,0))</f>
        <v>0</v>
      </c>
      <c r="FA174" s="386"/>
      <c r="FB174" s="60">
        <f>SUM(EV174:FA174)</f>
        <v>0</v>
      </c>
      <c r="FC174" s="242"/>
      <c r="FD174" s="243"/>
    </row>
    <row r="175" spans="1:188" s="5" customFormat="1" ht="12" hidden="1">
      <c r="A175" s="156">
        <f t="shared" si="49"/>
        <v>1</v>
      </c>
      <c r="B175" s="4"/>
      <c r="C175" s="4"/>
      <c r="D175" s="4"/>
      <c r="E175" s="4"/>
      <c r="F175" s="4"/>
      <c r="G175" s="4"/>
      <c r="H175" s="4"/>
      <c r="K175" s="86"/>
      <c r="L175" s="86"/>
      <c r="M175" s="86"/>
      <c r="N175" s="86"/>
      <c r="O175" s="86"/>
      <c r="P175" s="98" t="s">
        <v>169</v>
      </c>
      <c r="Q175" s="696">
        <f>MAX(Q159,Q160,Q161,Q162,Q163,Q164,Q165,Q166,Q167,Q168,Q169,Q170,Q171,Q172,Q173)</f>
        <v>44196</v>
      </c>
      <c r="R175" s="696"/>
      <c r="S175" s="696"/>
      <c r="T175" s="696"/>
      <c r="U175" s="696"/>
      <c r="CJ175"/>
      <c r="CK175"/>
      <c r="CL175"/>
      <c r="CM175"/>
      <c r="CN175"/>
      <c r="CO175"/>
      <c r="CP175"/>
      <c r="CQ175"/>
      <c r="CR175"/>
      <c r="CS175"/>
      <c r="CT175"/>
      <c r="CU175"/>
      <c r="CV175"/>
      <c r="CW175"/>
      <c r="CX175"/>
      <c r="CY175"/>
      <c r="CZ175"/>
      <c r="DA175"/>
      <c r="DB175"/>
      <c r="DC175"/>
      <c r="FC175" s="242"/>
      <c r="FD175" s="243"/>
      <c r="GD175" s="224" t="s">
        <v>87</v>
      </c>
      <c r="GE175" s="224">
        <f>MOD(YEAR(GB183),19)</f>
        <v>7</v>
      </c>
      <c r="GF175" s="227">
        <f>IF(GE175&gt;10,1,0)</f>
        <v>0</v>
      </c>
    </row>
    <row r="176" spans="1:188" s="5" customFormat="1" ht="12" hidden="1">
      <c r="A176" s="156">
        <f t="shared" si="49"/>
        <v>1</v>
      </c>
      <c r="B176" s="4"/>
      <c r="C176" s="4"/>
      <c r="D176" s="4"/>
      <c r="CJ176"/>
      <c r="CK176"/>
      <c r="CL176"/>
      <c r="CM176"/>
      <c r="CN176"/>
      <c r="CO176"/>
      <c r="CP176"/>
      <c r="CQ176"/>
      <c r="CR176"/>
      <c r="CS176"/>
      <c r="CT176"/>
      <c r="CU176"/>
      <c r="CV176"/>
      <c r="CW176"/>
      <c r="CX176"/>
      <c r="CY176"/>
      <c r="CZ176"/>
      <c r="DA176"/>
      <c r="DB176"/>
      <c r="DC176"/>
      <c r="DD176" s="121" t="str">
        <f>P110</f>
        <v>SOSTITUTI</v>
      </c>
      <c r="DE176" s="122"/>
      <c r="DF176" s="122"/>
      <c r="DG176" s="122"/>
      <c r="DH176" s="122"/>
      <c r="DI176" s="122"/>
      <c r="DJ176" s="122"/>
      <c r="DK176" s="122"/>
      <c r="DL176" s="122"/>
      <c r="DM176" s="122"/>
      <c r="DN176" s="122"/>
      <c r="DO176" s="122"/>
      <c r="DP176" s="123"/>
      <c r="DQ176" s="397" t="s">
        <v>32</v>
      </c>
      <c r="DR176" s="397"/>
      <c r="DS176" s="52" t="s">
        <v>33</v>
      </c>
      <c r="DT176" s="397" t="s">
        <v>34</v>
      </c>
      <c r="DU176" s="397"/>
      <c r="DV176" s="52" t="s">
        <v>48</v>
      </c>
      <c r="DW176" s="52" t="s">
        <v>33</v>
      </c>
      <c r="DX176" s="397" t="s">
        <v>36</v>
      </c>
      <c r="DY176" s="397"/>
      <c r="DZ176" s="52" t="s">
        <v>33</v>
      </c>
      <c r="EA176" s="4" t="s">
        <v>49</v>
      </c>
      <c r="EB176" s="4" t="s">
        <v>49</v>
      </c>
      <c r="EC176" s="4" t="s">
        <v>49</v>
      </c>
      <c r="ED176" s="397" t="s">
        <v>32</v>
      </c>
      <c r="EE176" s="397"/>
      <c r="EF176" s="52" t="s">
        <v>33</v>
      </c>
      <c r="EG176" s="397" t="s">
        <v>34</v>
      </c>
      <c r="EH176" s="397"/>
      <c r="EI176" s="52" t="s">
        <v>48</v>
      </c>
      <c r="EJ176" s="52" t="s">
        <v>33</v>
      </c>
      <c r="EK176" s="397" t="s">
        <v>36</v>
      </c>
      <c r="EL176" s="397"/>
      <c r="EM176" s="52" t="s">
        <v>33</v>
      </c>
      <c r="EN176" s="397" t="s">
        <v>37</v>
      </c>
      <c r="EO176" s="397"/>
      <c r="EP176" s="397" t="s">
        <v>38</v>
      </c>
      <c r="EQ176" s="397"/>
      <c r="ER176" s="397" t="s">
        <v>38</v>
      </c>
      <c r="ES176" s="397"/>
      <c r="ET176" s="397" t="s">
        <v>38</v>
      </c>
      <c r="EU176" s="397"/>
      <c r="EV176" s="395">
        <f>EX176-1</f>
        <v>2018</v>
      </c>
      <c r="EW176" s="395"/>
      <c r="EX176" s="395">
        <f>EZ176-1</f>
        <v>2019</v>
      </c>
      <c r="EY176" s="395"/>
      <c r="EZ176" s="395">
        <f>EZ142</f>
        <v>2020</v>
      </c>
      <c r="FA176" s="395"/>
      <c r="FB176" s="52" t="s">
        <v>39</v>
      </c>
      <c r="FC176" s="242"/>
      <c r="FD176" s="243"/>
      <c r="FE176" s="5">
        <f>IF(FG176=2015,20,IF(FG176=2016,15,31))</f>
        <v>31</v>
      </c>
      <c r="FF176" s="5">
        <f>IF(OR(FG176=2015,FG176=2016),9,IF(FG176&gt;2016,10,7))</f>
        <v>10</v>
      </c>
      <c r="FG176" s="396">
        <f>FG108</f>
        <v>2020</v>
      </c>
      <c r="FH176" s="396"/>
      <c r="GD176" s="224" t="s">
        <v>89</v>
      </c>
      <c r="GE176" s="224">
        <f>MOD(YEAR(GB183),4)</f>
        <v>1</v>
      </c>
      <c r="GF176" s="228"/>
    </row>
    <row r="177" spans="1:188" s="5" customFormat="1" ht="12" hidden="1">
      <c r="A177" s="156">
        <f t="shared" si="49"/>
        <v>1</v>
      </c>
      <c r="B177" s="4"/>
      <c r="C177" s="4"/>
      <c r="D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FC177" s="242"/>
      <c r="FD177" s="243"/>
      <c r="GD177" s="224" t="s">
        <v>91</v>
      </c>
      <c r="GE177" s="224">
        <f>MOD(YEAR(GB183),7)</f>
        <v>5</v>
      </c>
      <c r="GF177" s="228"/>
    </row>
    <row r="178" spans="1:188" s="5" customFormat="1" ht="12" hidden="1">
      <c r="A178" s="156">
        <f t="shared" si="49"/>
        <v>1</v>
      </c>
      <c r="B178" s="4"/>
      <c r="C178" s="4"/>
      <c r="D178" s="4"/>
      <c r="DD178" s="70" t="s">
        <v>170</v>
      </c>
      <c r="DE178" s="70"/>
      <c r="DF178" s="70"/>
      <c r="DG178" s="70"/>
      <c r="DH178" s="70"/>
      <c r="DI178" s="70"/>
      <c r="DJ178" s="70"/>
      <c r="DK178" s="70"/>
      <c r="DL178" s="70"/>
      <c r="DM178" s="70"/>
      <c r="DN178" s="70"/>
      <c r="DO178" s="70"/>
      <c r="DP178" s="70"/>
      <c r="DQ178" s="505" t="str">
        <f aca="true" t="shared" si="50" ref="DQ178:DQ199">LEFT(DD178,4)</f>
        <v>1001</v>
      </c>
      <c r="DR178" s="505"/>
      <c r="DS178" s="71">
        <v>2</v>
      </c>
      <c r="DT178" s="505">
        <v>8906</v>
      </c>
      <c r="DU178" s="505"/>
      <c r="DV178" s="71">
        <v>1</v>
      </c>
      <c r="DW178" s="71">
        <v>2</v>
      </c>
      <c r="DX178" s="505" t="str">
        <f aca="true" t="shared" si="51" ref="DX178:DX199">DQ178</f>
        <v>1001</v>
      </c>
      <c r="DY178" s="505"/>
      <c r="DZ178" s="71">
        <f aca="true" t="shared" si="52" ref="DZ178:DZ199">DS178</f>
        <v>2</v>
      </c>
      <c r="EA178" s="72">
        <f>EA144</f>
        <v>1</v>
      </c>
      <c r="EB178" s="72">
        <f>EB144</f>
        <v>1</v>
      </c>
      <c r="EC178" s="72">
        <f aca="true" t="shared" si="53" ref="EC178:EC199">IF(M107=DQ178,1,0)*EA178*EB178</f>
        <v>0</v>
      </c>
      <c r="ED178" s="505">
        <f aca="true" t="shared" si="54" ref="ED178:ED199">DQ178*EC178</f>
        <v>0</v>
      </c>
      <c r="EE178" s="505"/>
      <c r="EF178" s="71">
        <f aca="true" t="shared" si="55" ref="EF178:EF199">DS178*EC178</f>
        <v>0</v>
      </c>
      <c r="EG178" s="505">
        <f aca="true" t="shared" si="56" ref="EG178:EG199">DT178*EC178</f>
        <v>0</v>
      </c>
      <c r="EH178" s="505"/>
      <c r="EI178" s="71">
        <f aca="true" t="shared" si="57" ref="EI178:EI199">DV178*EC178</f>
        <v>0</v>
      </c>
      <c r="EJ178" s="71">
        <f aca="true" t="shared" si="58" ref="EJ178:EJ199">DW178*EC178</f>
        <v>0</v>
      </c>
      <c r="EK178" s="505">
        <f aca="true" t="shared" si="59" ref="EK178:EK199">DX178*EC178</f>
        <v>0</v>
      </c>
      <c r="EL178" s="505"/>
      <c r="EM178" s="71">
        <f aca="true" t="shared" si="60" ref="EM178:EM199">DZ178*EC178</f>
        <v>0</v>
      </c>
      <c r="EN178" s="488">
        <f>IF(X13&lt;&gt;"",EC178*MONTH(X13-30),0)</f>
        <v>0</v>
      </c>
      <c r="EO178" s="488"/>
      <c r="EP178" s="487">
        <f>IF(X13&lt;&gt;"",EC178*YEAR(X13-30),0)</f>
        <v>0</v>
      </c>
      <c r="EQ178" s="487"/>
      <c r="ER178" s="385">
        <f>ER144</f>
        <v>0</v>
      </c>
      <c r="ES178" s="385"/>
      <c r="ET178" s="505">
        <f aca="true" t="shared" si="61" ref="ET178:ET199">EC178*ER178</f>
        <v>0</v>
      </c>
      <c r="EU178" s="505"/>
      <c r="EV178" s="82"/>
      <c r="EW178" s="82"/>
      <c r="EX178" s="82"/>
      <c r="EY178" s="82"/>
      <c r="EZ178" s="82"/>
      <c r="FA178" s="82"/>
      <c r="FB178" s="82"/>
      <c r="FC178" s="242"/>
      <c r="FD178" s="243"/>
      <c r="FE178" s="55">
        <v>4</v>
      </c>
      <c r="FF178" s="159" t="s">
        <v>55</v>
      </c>
      <c r="GD178" s="224" t="s">
        <v>93</v>
      </c>
      <c r="GE178" s="224">
        <f>MOD(19*GE175+24,30)</f>
        <v>7</v>
      </c>
      <c r="GF178" s="228">
        <f>IF(GE178=28,1,0)</f>
        <v>0</v>
      </c>
    </row>
    <row r="179" spans="1:188" s="5" customFormat="1" ht="12" hidden="1">
      <c r="A179" s="156">
        <f t="shared" si="49"/>
        <v>1</v>
      </c>
      <c r="Q179" s="263" t="s">
        <v>171</v>
      </c>
      <c r="R179" s="264"/>
      <c r="S179" s="265" t="s">
        <v>172</v>
      </c>
      <c r="T179" s="266"/>
      <c r="U179" s="159"/>
      <c r="V179" s="159"/>
      <c r="W179" s="159"/>
      <c r="X179" s="159"/>
      <c r="Y179" s="159"/>
      <c r="Z179" s="159"/>
      <c r="AA179" s="306" t="s">
        <v>173</v>
      </c>
      <c r="AB179" s="307"/>
      <c r="AC179" s="159"/>
      <c r="AD179" s="159"/>
      <c r="AE179" s="159"/>
      <c r="AF179" s="159"/>
      <c r="AG179" s="159"/>
      <c r="AH179" s="159"/>
      <c r="AI179" s="159"/>
      <c r="AJ179" s="159"/>
      <c r="AK179" s="308" t="s">
        <v>174</v>
      </c>
      <c r="AL179" s="309"/>
      <c r="AU179" s="265" t="s">
        <v>175</v>
      </c>
      <c r="AV179" s="310"/>
      <c r="BE179" s="311" t="s">
        <v>176</v>
      </c>
      <c r="BF179" s="312"/>
      <c r="DD179" s="377" t="s">
        <v>177</v>
      </c>
      <c r="DE179" s="70"/>
      <c r="DF179" s="70"/>
      <c r="DG179" s="70"/>
      <c r="DH179" s="70"/>
      <c r="DI179" s="70"/>
      <c r="DJ179" s="70"/>
      <c r="DK179" s="70"/>
      <c r="DL179" s="70"/>
      <c r="DM179" s="70"/>
      <c r="DN179" s="70"/>
      <c r="DO179" s="70"/>
      <c r="DP179" s="70"/>
      <c r="DQ179" s="505" t="str">
        <f t="shared" si="50"/>
        <v>1002</v>
      </c>
      <c r="DR179" s="505"/>
      <c r="DS179" s="71">
        <v>2</v>
      </c>
      <c r="DT179" s="505">
        <v>8906</v>
      </c>
      <c r="DU179" s="505"/>
      <c r="DV179" s="71">
        <v>1</v>
      </c>
      <c r="DW179" s="71">
        <v>2</v>
      </c>
      <c r="DX179" s="505" t="str">
        <f t="shared" si="51"/>
        <v>1002</v>
      </c>
      <c r="DY179" s="505"/>
      <c r="DZ179" s="71">
        <f t="shared" si="52"/>
        <v>2</v>
      </c>
      <c r="EA179" s="72">
        <f aca="true" t="shared" si="62" ref="EA179:EA199">EA178</f>
        <v>1</v>
      </c>
      <c r="EB179" s="72">
        <f aca="true" t="shared" si="63" ref="EB179:EB199">EB178</f>
        <v>1</v>
      </c>
      <c r="EC179" s="72">
        <f t="shared" si="53"/>
        <v>0</v>
      </c>
      <c r="ED179" s="505">
        <f t="shared" si="54"/>
        <v>0</v>
      </c>
      <c r="EE179" s="505"/>
      <c r="EF179" s="71">
        <f t="shared" si="55"/>
        <v>0</v>
      </c>
      <c r="EG179" s="505">
        <f t="shared" si="56"/>
        <v>0</v>
      </c>
      <c r="EH179" s="505"/>
      <c r="EI179" s="71">
        <f t="shared" si="57"/>
        <v>0</v>
      </c>
      <c r="EJ179" s="71">
        <f t="shared" si="58"/>
        <v>0</v>
      </c>
      <c r="EK179" s="505">
        <f t="shared" si="59"/>
        <v>0</v>
      </c>
      <c r="EL179" s="505"/>
      <c r="EM179" s="71">
        <f t="shared" si="60"/>
        <v>0</v>
      </c>
      <c r="EN179" s="488">
        <f>IF(X13&lt;&gt;"",EC179*MONTH(X13-30),0)</f>
        <v>0</v>
      </c>
      <c r="EO179" s="488"/>
      <c r="EP179" s="487">
        <f>IF(X13&lt;&gt;"",EC179*YEAR(X13-30),0)</f>
        <v>0</v>
      </c>
      <c r="EQ179" s="487"/>
      <c r="ER179" s="385">
        <f aca="true" t="shared" si="64" ref="ER179:ER199">ER178</f>
        <v>0</v>
      </c>
      <c r="ES179" s="385"/>
      <c r="ET179" s="505">
        <f t="shared" si="61"/>
        <v>0</v>
      </c>
      <c r="EU179" s="505"/>
      <c r="EV179" s="82"/>
      <c r="EW179" s="82"/>
      <c r="EX179" s="82"/>
      <c r="EY179" s="82"/>
      <c r="EZ179" s="82"/>
      <c r="FA179" s="82"/>
      <c r="FB179" s="82"/>
      <c r="FC179" s="242"/>
      <c r="FD179" s="243"/>
      <c r="FE179" s="55">
        <v>3</v>
      </c>
      <c r="FF179" s="159" t="s">
        <v>59</v>
      </c>
      <c r="GD179" s="224" t="s">
        <v>94</v>
      </c>
      <c r="GE179" s="224">
        <f>MOD(2*GE176+4*GE177+6*GE178+5,7)</f>
        <v>6</v>
      </c>
      <c r="GF179" s="228">
        <f>IF(GE179=6,1,0)</f>
        <v>1</v>
      </c>
    </row>
    <row r="180" spans="1:188" s="5" customFormat="1" ht="12" hidden="1">
      <c r="A180" s="156">
        <f t="shared" si="49"/>
        <v>1</v>
      </c>
      <c r="Q180" s="250" t="str">
        <f>IF(BE167=1,"dal"," ")</f>
        <v> </v>
      </c>
      <c r="R180" s="250" t="str">
        <f>IF(BE167=1,AT167," ")</f>
        <v> </v>
      </c>
      <c r="S180" s="250" t="str">
        <f>IF(BE167=1,"al"," ")</f>
        <v> </v>
      </c>
      <c r="T180" s="250" t="str">
        <f>IF(BE167=1,AW167," ")</f>
        <v> </v>
      </c>
      <c r="U180" s="254" t="str">
        <f>IF(BE167=1,AG167," ")</f>
        <v> </v>
      </c>
      <c r="V180" s="250" t="str">
        <f>IF(BE167=1," x   GG"," ")</f>
        <v> </v>
      </c>
      <c r="W180" s="250" t="str">
        <f>IF(BE167=1,AA167," ")</f>
        <v> </v>
      </c>
      <c r="X180" s="250" t="str">
        <f>IF(BE167=1,"= €"," ")</f>
        <v> </v>
      </c>
      <c r="Y180" s="250" t="str">
        <f>IF(BE167=1,AN167," ")</f>
        <v> </v>
      </c>
      <c r="Z180" s="250" t="str">
        <f>IF(BE167=1,AZ167," ")</f>
        <v> </v>
      </c>
      <c r="AA180" s="5" t="s">
        <v>14</v>
      </c>
      <c r="DD180" s="70" t="s">
        <v>178</v>
      </c>
      <c r="DE180" s="70"/>
      <c r="DF180" s="70"/>
      <c r="DG180" s="70"/>
      <c r="DH180" s="70"/>
      <c r="DI180" s="70"/>
      <c r="DJ180" s="70"/>
      <c r="DK180" s="70"/>
      <c r="DL180" s="70"/>
      <c r="DM180" s="70"/>
      <c r="DN180" s="70"/>
      <c r="DO180" s="70"/>
      <c r="DP180" s="70"/>
      <c r="DQ180" s="505" t="str">
        <f t="shared" si="50"/>
        <v>1012</v>
      </c>
      <c r="DR180" s="505"/>
      <c r="DS180" s="71">
        <v>2</v>
      </c>
      <c r="DT180" s="505">
        <v>8906</v>
      </c>
      <c r="DU180" s="505"/>
      <c r="DV180" s="71">
        <v>1</v>
      </c>
      <c r="DW180" s="71">
        <v>2</v>
      </c>
      <c r="DX180" s="505" t="str">
        <f t="shared" si="51"/>
        <v>1012</v>
      </c>
      <c r="DY180" s="505"/>
      <c r="DZ180" s="71">
        <f t="shared" si="52"/>
        <v>2</v>
      </c>
      <c r="EA180" s="72">
        <f t="shared" si="62"/>
        <v>1</v>
      </c>
      <c r="EB180" s="72">
        <f t="shared" si="63"/>
        <v>1</v>
      </c>
      <c r="EC180" s="72">
        <f t="shared" si="53"/>
        <v>0</v>
      </c>
      <c r="ED180" s="505">
        <f t="shared" si="54"/>
        <v>0</v>
      </c>
      <c r="EE180" s="505"/>
      <c r="EF180" s="71">
        <f t="shared" si="55"/>
        <v>0</v>
      </c>
      <c r="EG180" s="505">
        <f t="shared" si="56"/>
        <v>0</v>
      </c>
      <c r="EH180" s="505"/>
      <c r="EI180" s="71">
        <f t="shared" si="57"/>
        <v>0</v>
      </c>
      <c r="EJ180" s="71">
        <f t="shared" si="58"/>
        <v>0</v>
      </c>
      <c r="EK180" s="505">
        <f t="shared" si="59"/>
        <v>0</v>
      </c>
      <c r="EL180" s="505"/>
      <c r="EM180" s="71">
        <f t="shared" si="60"/>
        <v>0</v>
      </c>
      <c r="EN180" s="488">
        <f>IF(X13&lt;&gt;"",EC180*MONTH(X13-30),0)</f>
        <v>0</v>
      </c>
      <c r="EO180" s="488"/>
      <c r="EP180" s="487">
        <f>IF(X13&lt;&gt;"",EC180*YEAR(X13-30),0)</f>
        <v>0</v>
      </c>
      <c r="EQ180" s="487"/>
      <c r="ER180" s="385">
        <f t="shared" si="64"/>
        <v>0</v>
      </c>
      <c r="ES180" s="385"/>
      <c r="ET180" s="505">
        <f t="shared" si="61"/>
        <v>0</v>
      </c>
      <c r="EU180" s="505"/>
      <c r="EV180" s="82"/>
      <c r="EW180" s="82"/>
      <c r="EX180" s="82"/>
      <c r="EY180" s="82"/>
      <c r="EZ180" s="82"/>
      <c r="FA180" s="82"/>
      <c r="FB180" s="82"/>
      <c r="FC180" s="242"/>
      <c r="FD180" s="243"/>
      <c r="FE180" s="55">
        <v>2</v>
      </c>
      <c r="FF180" s="159" t="s">
        <v>62</v>
      </c>
      <c r="GD180" s="224" t="s">
        <v>40</v>
      </c>
      <c r="GE180" s="224">
        <f>IF(GE178+GE179&lt;10,3,4)</f>
        <v>4</v>
      </c>
      <c r="GF180" s="229"/>
    </row>
    <row r="181" spans="1:188" s="5" customFormat="1" ht="12" hidden="1">
      <c r="A181" s="156">
        <f t="shared" si="49"/>
        <v>1</v>
      </c>
      <c r="Q181" s="251">
        <f>IF(BE168=1,"dal","")</f>
      </c>
      <c r="R181" s="251">
        <f>IF(BE168=1,AT168,0)</f>
        <v>0</v>
      </c>
      <c r="S181" s="251">
        <f>IF(BE168=1,"al","")</f>
      </c>
      <c r="T181" s="251">
        <f>IF(BE168=1,AW168,0)</f>
        <v>0</v>
      </c>
      <c r="U181" s="255">
        <f>IF(BE168=1,AG168,"")</f>
      </c>
      <c r="V181" s="251">
        <f>IF(BE168=1," x   GG","")</f>
      </c>
      <c r="W181" s="251">
        <f>IF(BE168=1,AA168,"")</f>
      </c>
      <c r="X181" s="251">
        <f>IF(BE168=1,"= €","")</f>
      </c>
      <c r="Y181" s="251">
        <f>IF(BE168=1,AN168,"")</f>
      </c>
      <c r="Z181" s="251">
        <f>IF(BE168=1,AZ168,"")</f>
      </c>
      <c r="AA181" s="5" t="s">
        <v>14</v>
      </c>
      <c r="CJ181"/>
      <c r="CK181"/>
      <c r="CL181"/>
      <c r="CM181"/>
      <c r="CN181"/>
      <c r="CO181"/>
      <c r="CP181"/>
      <c r="CQ181"/>
      <c r="CR181"/>
      <c r="CS181"/>
      <c r="CT181"/>
      <c r="CU181"/>
      <c r="CV181"/>
      <c r="CW181"/>
      <c r="CX181"/>
      <c r="CY181"/>
      <c r="CZ181"/>
      <c r="DA181"/>
      <c r="DB181"/>
      <c r="DC181"/>
      <c r="DD181" s="70" t="s">
        <v>179</v>
      </c>
      <c r="DE181" s="70"/>
      <c r="DF181" s="70"/>
      <c r="DG181" s="70"/>
      <c r="DH181" s="70"/>
      <c r="DI181" s="70"/>
      <c r="DJ181" s="70"/>
      <c r="DK181" s="70"/>
      <c r="DL181" s="70"/>
      <c r="DM181" s="70"/>
      <c r="DN181" s="70"/>
      <c r="DO181" s="70"/>
      <c r="DP181" s="70"/>
      <c r="DQ181" s="505" t="str">
        <f t="shared" si="50"/>
        <v>1019</v>
      </c>
      <c r="DR181" s="505"/>
      <c r="DS181" s="71">
        <v>2</v>
      </c>
      <c r="DT181" s="505">
        <v>8906</v>
      </c>
      <c r="DU181" s="505"/>
      <c r="DV181" s="71">
        <v>1</v>
      </c>
      <c r="DW181" s="71">
        <v>2</v>
      </c>
      <c r="DX181" s="505" t="str">
        <f t="shared" si="51"/>
        <v>1019</v>
      </c>
      <c r="DY181" s="505"/>
      <c r="DZ181" s="71">
        <f t="shared" si="52"/>
        <v>2</v>
      </c>
      <c r="EA181" s="72">
        <f t="shared" si="62"/>
        <v>1</v>
      </c>
      <c r="EB181" s="72">
        <f t="shared" si="63"/>
        <v>1</v>
      </c>
      <c r="EC181" s="72">
        <f t="shared" si="53"/>
        <v>0</v>
      </c>
      <c r="ED181" s="505">
        <f t="shared" si="54"/>
        <v>0</v>
      </c>
      <c r="EE181" s="505"/>
      <c r="EF181" s="71">
        <f t="shared" si="55"/>
        <v>0</v>
      </c>
      <c r="EG181" s="505">
        <f t="shared" si="56"/>
        <v>0</v>
      </c>
      <c r="EH181" s="505"/>
      <c r="EI181" s="71">
        <f t="shared" si="57"/>
        <v>0</v>
      </c>
      <c r="EJ181" s="71">
        <f t="shared" si="58"/>
        <v>0</v>
      </c>
      <c r="EK181" s="505">
        <f t="shared" si="59"/>
        <v>0</v>
      </c>
      <c r="EL181" s="505"/>
      <c r="EM181" s="71">
        <f t="shared" si="60"/>
        <v>0</v>
      </c>
      <c r="EN181" s="488">
        <f>IF(X13&lt;&gt;"",EC181*MONTH(X13-30),0)</f>
        <v>0</v>
      </c>
      <c r="EO181" s="488"/>
      <c r="EP181" s="487">
        <f>IF(X13&lt;&gt;"",EC181*YEAR(X13-30),0)</f>
        <v>0</v>
      </c>
      <c r="EQ181" s="487"/>
      <c r="ER181" s="385">
        <f t="shared" si="64"/>
        <v>0</v>
      </c>
      <c r="ES181" s="385"/>
      <c r="ET181" s="505">
        <f t="shared" si="61"/>
        <v>0</v>
      </c>
      <c r="EU181" s="505"/>
      <c r="EV181" s="82"/>
      <c r="EW181" s="82"/>
      <c r="EX181" s="82"/>
      <c r="EY181" s="82"/>
      <c r="EZ181" s="82"/>
      <c r="FA181" s="82"/>
      <c r="FB181" s="82"/>
      <c r="FC181" s="242"/>
      <c r="FD181" s="243"/>
      <c r="FE181" s="55">
        <v>1</v>
      </c>
      <c r="FF181" s="159" t="s">
        <v>65</v>
      </c>
      <c r="GD181" s="224" t="s">
        <v>95</v>
      </c>
      <c r="GE181" s="224">
        <f>IF(GE180=3,GE178+GE179+22,IF(GE178+GE179-9=26,19,IF((GE178+GE179-9)*GF181=25,18,GE178+GE179-9)))</f>
        <v>4</v>
      </c>
      <c r="GF181" s="229">
        <f>GF175*GF178*GF179</f>
        <v>0</v>
      </c>
    </row>
    <row r="182" spans="1:199" s="5" customFormat="1" ht="12" hidden="1">
      <c r="A182" s="156">
        <f t="shared" si="49"/>
        <v>1</v>
      </c>
      <c r="Q182" s="251">
        <f>IF(BE169=1,"dal","")</f>
      </c>
      <c r="R182" s="251">
        <f>IF(BE169=1,AT169,0)</f>
        <v>0</v>
      </c>
      <c r="S182" s="251">
        <f>IF(BE169=1,"al","")</f>
      </c>
      <c r="T182" s="251">
        <f>IF(BE169=1,AW169,0)</f>
        <v>0</v>
      </c>
      <c r="U182" s="255">
        <f>IF(BE169=1,AG169,"")</f>
      </c>
      <c r="V182" s="251">
        <f>IF(BE169=1," x   GG","")</f>
      </c>
      <c r="W182" s="251">
        <f>IF(BE169=1,AA169,"")</f>
      </c>
      <c r="X182" s="251">
        <f>IF(BE169=1,"= €","")</f>
      </c>
      <c r="Y182" s="251">
        <f>IF(BE169=1,AN169,"")</f>
      </c>
      <c r="Z182" s="251">
        <f>IF(BE169=1,AZ169,"")</f>
      </c>
      <c r="AA182" s="252">
        <f>IF(BE169=2,"dal","")</f>
      </c>
      <c r="AB182" s="252">
        <f>IF(BE169=2,AT169,0)</f>
        <v>0</v>
      </c>
      <c r="AC182" s="252">
        <f>IF(BE169=2,"al","")</f>
      </c>
      <c r="AD182" s="252">
        <f>IF(BE169=2,AW169,0)</f>
        <v>0</v>
      </c>
      <c r="AE182" s="257">
        <f>IF(BE169=2,AG169,"")</f>
      </c>
      <c r="AF182" s="252">
        <f>IF(BE169=2," x   GG","")</f>
      </c>
      <c r="AG182" s="252">
        <f>IF(BE169=2,AA169,"")</f>
      </c>
      <c r="AH182" s="252">
        <f>IF(BE169=2,"= €","")</f>
      </c>
      <c r="AI182" s="252">
        <f>IF(BE169=2,AN169,"")</f>
      </c>
      <c r="AJ182" s="252">
        <f>IF(BE169=2,AZ169,"")</f>
      </c>
      <c r="AK182" s="5" t="s">
        <v>14</v>
      </c>
      <c r="CJ182"/>
      <c r="CK182"/>
      <c r="CL182"/>
      <c r="CM182"/>
      <c r="CN182"/>
      <c r="CO182"/>
      <c r="CP182"/>
      <c r="CQ182"/>
      <c r="CR182"/>
      <c r="CS182"/>
      <c r="CT182"/>
      <c r="CU182"/>
      <c r="CV182"/>
      <c r="CW182"/>
      <c r="CX182"/>
      <c r="CY182"/>
      <c r="CZ182"/>
      <c r="DA182"/>
      <c r="DB182"/>
      <c r="DC182"/>
      <c r="DD182" s="70" t="s">
        <v>180</v>
      </c>
      <c r="DE182" s="70"/>
      <c r="DF182" s="70"/>
      <c r="DG182" s="70"/>
      <c r="DH182" s="70"/>
      <c r="DI182" s="70"/>
      <c r="DJ182" s="70"/>
      <c r="DK182" s="70"/>
      <c r="DL182" s="70"/>
      <c r="DM182" s="70"/>
      <c r="DN182" s="70"/>
      <c r="DO182" s="70"/>
      <c r="DP182" s="70"/>
      <c r="DQ182" s="505" t="str">
        <f t="shared" si="50"/>
        <v>1020</v>
      </c>
      <c r="DR182" s="505"/>
      <c r="DS182" s="71">
        <v>2</v>
      </c>
      <c r="DT182" s="505">
        <v>8906</v>
      </c>
      <c r="DU182" s="505"/>
      <c r="DV182" s="71">
        <v>1</v>
      </c>
      <c r="DW182" s="71">
        <v>2</v>
      </c>
      <c r="DX182" s="505" t="str">
        <f t="shared" si="51"/>
        <v>1020</v>
      </c>
      <c r="DY182" s="505"/>
      <c r="DZ182" s="71">
        <f t="shared" si="52"/>
        <v>2</v>
      </c>
      <c r="EA182" s="72">
        <f t="shared" si="62"/>
        <v>1</v>
      </c>
      <c r="EB182" s="72">
        <f t="shared" si="63"/>
        <v>1</v>
      </c>
      <c r="EC182" s="72">
        <f t="shared" si="53"/>
        <v>0</v>
      </c>
      <c r="ED182" s="505">
        <f t="shared" si="54"/>
        <v>0</v>
      </c>
      <c r="EE182" s="505"/>
      <c r="EF182" s="71">
        <f t="shared" si="55"/>
        <v>0</v>
      </c>
      <c r="EG182" s="505">
        <f t="shared" si="56"/>
        <v>0</v>
      </c>
      <c r="EH182" s="505"/>
      <c r="EI182" s="71">
        <f t="shared" si="57"/>
        <v>0</v>
      </c>
      <c r="EJ182" s="71">
        <f t="shared" si="58"/>
        <v>0</v>
      </c>
      <c r="EK182" s="505">
        <f t="shared" si="59"/>
        <v>0</v>
      </c>
      <c r="EL182" s="505"/>
      <c r="EM182" s="71">
        <f t="shared" si="60"/>
        <v>0</v>
      </c>
      <c r="EN182" s="488">
        <f>IF(X13&lt;&gt;"",EC182*MONTH(X13-30),0)</f>
        <v>0</v>
      </c>
      <c r="EO182" s="488"/>
      <c r="EP182" s="487">
        <f>IF(X13&lt;&gt;"",EC182*YEAR(X13-30),0)</f>
        <v>0</v>
      </c>
      <c r="EQ182" s="487"/>
      <c r="ER182" s="385">
        <f t="shared" si="64"/>
        <v>0</v>
      </c>
      <c r="ES182" s="385"/>
      <c r="ET182" s="505">
        <f t="shared" si="61"/>
        <v>0</v>
      </c>
      <c r="EU182" s="505"/>
      <c r="EV182" s="82"/>
      <c r="EW182" s="82"/>
      <c r="EX182" s="82"/>
      <c r="EY182" s="82"/>
      <c r="EZ182" s="82"/>
      <c r="FA182" s="82"/>
      <c r="FB182" s="82"/>
      <c r="FC182" s="242"/>
      <c r="FD182" s="243"/>
      <c r="FE182" s="394">
        <f>DATE(FG176,FF176,FE176)+IF(WEEKDAY(DATE(FG176,FF176,FE176),2)=6,2,IF(WEEKDAY(DATE(FG176,FF176,FE176),2)=7,1,0))</f>
        <v>44137</v>
      </c>
      <c r="FF182" s="394"/>
      <c r="FG182" s="394"/>
      <c r="FH182" s="394"/>
      <c r="FI182" s="159" t="s">
        <v>68</v>
      </c>
      <c r="GB182" s="345" t="s">
        <v>96</v>
      </c>
      <c r="GC182" s="346" t="s">
        <v>97</v>
      </c>
      <c r="GD182" s="346">
        <f>DATEVALUE(CONCATENATE("06/01/",YEAR(GB183)))</f>
        <v>44202</v>
      </c>
      <c r="GE182" s="346">
        <f>DATEVALUE(CONCATENATE(GE181,"/",GE180,"/",YEAR(GB183)))+1</f>
        <v>44291</v>
      </c>
      <c r="GF182" s="346">
        <f>DATEVALUE(CONCATENATE("25/04/",YEAR(GB183)))</f>
        <v>44311</v>
      </c>
      <c r="GG182" s="346">
        <f>DATEVALUE(CONCATENATE("01/05/",YEAR(GB183)))</f>
        <v>44317</v>
      </c>
      <c r="GH182" s="346">
        <f>DATEVALUE(CONCATENATE("02/06/",YEAR(GB183)))</f>
        <v>44349</v>
      </c>
      <c r="GI182" s="346">
        <f>DATEVALUE(CONCATENATE("15/08/",YEAR(GB183)))</f>
        <v>44423</v>
      </c>
      <c r="GJ182" s="346">
        <f>DATEVALUE(CONCATENATE("01/11/",YEAR(GB183)))</f>
        <v>44501</v>
      </c>
      <c r="GK182" s="346">
        <f>DATEVALUE(CONCATENATE("08/12/",YEAR(GB183)))</f>
        <v>44538</v>
      </c>
      <c r="GL182" s="346">
        <f>DATEVALUE(CONCATENATE("25/12/",YEAR(GB183)))</f>
        <v>44555</v>
      </c>
      <c r="GM182" s="346">
        <f>DATEVALUE(CONCATENATE("01/01/",YEAR(GB183)+1))</f>
        <v>44562</v>
      </c>
      <c r="GN182" s="346">
        <f>DATEVALUE(CONCATENATE("06/01/",YEAR(GB183)+1))</f>
        <v>44567</v>
      </c>
      <c r="GO182" s="346" t="s">
        <v>97</v>
      </c>
      <c r="GP182" s="346" t="s">
        <v>98</v>
      </c>
      <c r="GQ182" s="347"/>
    </row>
    <row r="183" spans="1:199" s="5" customFormat="1" ht="12" hidden="1">
      <c r="A183" s="156">
        <f t="shared" si="49"/>
        <v>1</v>
      </c>
      <c r="Q183" s="251">
        <f>IF(BE170=1,"dal","")</f>
      </c>
      <c r="R183" s="251">
        <f>IF(BE170=1,AT170,0)</f>
        <v>0</v>
      </c>
      <c r="S183" s="251">
        <f>IF(BE170=1,"al","")</f>
      </c>
      <c r="T183" s="251">
        <f>IF(BE170=1,AW170,0)</f>
        <v>0</v>
      </c>
      <c r="U183" s="255">
        <f>IF(BE170=1,AG170,"")</f>
      </c>
      <c r="V183" s="251">
        <f>IF(BE170=1," x   GG","")</f>
      </c>
      <c r="W183" s="251">
        <f>IF(BE170=1,AA170,"")</f>
      </c>
      <c r="X183" s="251">
        <f>IF(BE170=1,"= €","")</f>
      </c>
      <c r="Y183" s="251">
        <f>IF(BE170=1,AN170,"")</f>
      </c>
      <c r="Z183" s="251">
        <f>IF(BE170=1,AZ170,"")</f>
      </c>
      <c r="AA183" s="252">
        <f>IF(BE170=2,"dal","")</f>
      </c>
      <c r="AB183" s="252">
        <f>IF(BE170=2,AT170,0)</f>
        <v>0</v>
      </c>
      <c r="AC183" s="252">
        <f>IF(BE170=2,"al","")</f>
      </c>
      <c r="AD183" s="252">
        <f>IF(BE170=2,AW170,0)</f>
        <v>0</v>
      </c>
      <c r="AE183" s="257">
        <f>IF(BE170=2,AG170,"")</f>
      </c>
      <c r="AF183" s="252">
        <f>IF(BE170=2," x   GG","")</f>
      </c>
      <c r="AG183" s="252">
        <f>IF(BE170=2,AA170,"")</f>
      </c>
      <c r="AH183" s="252">
        <f>IF(BE170=2,"= €","")</f>
      </c>
      <c r="AI183" s="252">
        <f>IF(BE170=2,AN170,"")</f>
      </c>
      <c r="AJ183" s="252">
        <f>IF(BE170=2,AZ170,"")</f>
      </c>
      <c r="AK183" s="253">
        <f>IF(BE170=3,"dal","")</f>
      </c>
      <c r="AL183" s="253">
        <f>IF(BE170=3,AT170,0)</f>
        <v>0</v>
      </c>
      <c r="AM183" s="253">
        <f>IF(BE170=3,"al","")</f>
      </c>
      <c r="AN183" s="253">
        <f>IF(BE170=3,AW170,0)</f>
        <v>0</v>
      </c>
      <c r="AO183" s="256">
        <f>IF(BE170=3,AG170,"")</f>
      </c>
      <c r="AP183" s="253">
        <f>IF(BE170=3," x   GG","")</f>
      </c>
      <c r="AQ183" s="253">
        <f>IF(BE170=3,AA170,"")</f>
      </c>
      <c r="AR183" s="253">
        <f>IF(BE170=3,"= €","")</f>
      </c>
      <c r="AS183" s="253">
        <f>IF(BE170=3,AN170,"")</f>
      </c>
      <c r="AT183" s="253">
        <f>IF(BE170=3,AZ170,"")</f>
      </c>
      <c r="AU183" s="5" t="s">
        <v>14</v>
      </c>
      <c r="CJ183"/>
      <c r="CK183"/>
      <c r="CL183"/>
      <c r="CM183"/>
      <c r="CN183"/>
      <c r="CO183"/>
      <c r="CP183"/>
      <c r="CQ183"/>
      <c r="CR183"/>
      <c r="CS183"/>
      <c r="CT183"/>
      <c r="CU183"/>
      <c r="CV183"/>
      <c r="CW183"/>
      <c r="CX183"/>
      <c r="CY183"/>
      <c r="CZ183"/>
      <c r="DA183"/>
      <c r="DB183"/>
      <c r="DC183"/>
      <c r="DD183" s="377" t="s">
        <v>181</v>
      </c>
      <c r="DE183" s="70"/>
      <c r="DF183" s="70"/>
      <c r="DG183" s="70"/>
      <c r="DH183" s="70"/>
      <c r="DI183" s="70"/>
      <c r="DJ183" s="70"/>
      <c r="DK183" s="70"/>
      <c r="DL183" s="70"/>
      <c r="DM183" s="70"/>
      <c r="DN183" s="70"/>
      <c r="DO183" s="70"/>
      <c r="DP183" s="70"/>
      <c r="DQ183" s="505" t="str">
        <f t="shared" si="50"/>
        <v>1030</v>
      </c>
      <c r="DR183" s="505"/>
      <c r="DS183" s="71">
        <v>2</v>
      </c>
      <c r="DT183" s="505">
        <v>8906</v>
      </c>
      <c r="DU183" s="505"/>
      <c r="DV183" s="71">
        <v>1</v>
      </c>
      <c r="DW183" s="71">
        <v>2</v>
      </c>
      <c r="DX183" s="505" t="str">
        <f t="shared" si="51"/>
        <v>1030</v>
      </c>
      <c r="DY183" s="505"/>
      <c r="DZ183" s="71">
        <f t="shared" si="52"/>
        <v>2</v>
      </c>
      <c r="EA183" s="72">
        <f t="shared" si="62"/>
        <v>1</v>
      </c>
      <c r="EB183" s="72">
        <f t="shared" si="63"/>
        <v>1</v>
      </c>
      <c r="EC183" s="72">
        <f t="shared" si="53"/>
        <v>0</v>
      </c>
      <c r="ED183" s="505">
        <f t="shared" si="54"/>
        <v>0</v>
      </c>
      <c r="EE183" s="505"/>
      <c r="EF183" s="71">
        <f t="shared" si="55"/>
        <v>0</v>
      </c>
      <c r="EG183" s="505">
        <f t="shared" si="56"/>
        <v>0</v>
      </c>
      <c r="EH183" s="505"/>
      <c r="EI183" s="71">
        <f t="shared" si="57"/>
        <v>0</v>
      </c>
      <c r="EJ183" s="71">
        <f t="shared" si="58"/>
        <v>0</v>
      </c>
      <c r="EK183" s="505">
        <f t="shared" si="59"/>
        <v>0</v>
      </c>
      <c r="EL183" s="505"/>
      <c r="EM183" s="71">
        <f t="shared" si="60"/>
        <v>0</v>
      </c>
      <c r="EN183" s="488">
        <f>IF(X13&lt;&gt;"",EC183*MONTH(X13-30),0)</f>
        <v>0</v>
      </c>
      <c r="EO183" s="488"/>
      <c r="EP183" s="487">
        <f>IF(X13&lt;&gt;"",EC183*YEAR(X13-30),0)</f>
        <v>0</v>
      </c>
      <c r="EQ183" s="487"/>
      <c r="ER183" s="385">
        <f t="shared" si="64"/>
        <v>0</v>
      </c>
      <c r="ES183" s="385"/>
      <c r="ET183" s="505">
        <f t="shared" si="61"/>
        <v>0</v>
      </c>
      <c r="EU183" s="505"/>
      <c r="EV183" s="82"/>
      <c r="EW183" s="82"/>
      <c r="EX183" s="82"/>
      <c r="EY183" s="82"/>
      <c r="EZ183" s="82"/>
      <c r="FA183" s="82"/>
      <c r="FB183" s="82"/>
      <c r="FC183" s="242"/>
      <c r="FD183" s="243"/>
      <c r="FE183" s="394">
        <f>GP183</f>
        <v>44228</v>
      </c>
      <c r="FF183" s="394"/>
      <c r="FG183" s="394"/>
      <c r="FH183" s="394"/>
      <c r="FI183" s="159" t="s">
        <v>132</v>
      </c>
      <c r="GB183" s="348">
        <f>FE182+90</f>
        <v>44227</v>
      </c>
      <c r="GC183" s="349">
        <f>IF(WEEKDAY(GB183,2)=6,2,IF(WEEKDAY(GB183,2)=7,1,0))</f>
        <v>1</v>
      </c>
      <c r="GD183" s="349">
        <f>IF(GB183+GC183=GD182,1,0)</f>
        <v>0</v>
      </c>
      <c r="GE183" s="349">
        <f>IF(GB183+GC183=GE182,1,0)</f>
        <v>0</v>
      </c>
      <c r="GF183" s="349">
        <f>IF(GB183+GC183=GF182,1,0)</f>
        <v>0</v>
      </c>
      <c r="GG183" s="349">
        <f>IF(GB183+GC183=GG182,1,0)</f>
        <v>0</v>
      </c>
      <c r="GH183" s="349">
        <f>IF(GB183+GC183=GH182,1,0)</f>
        <v>0</v>
      </c>
      <c r="GI183" s="349">
        <f>IF(GB183+GC183=GI182,1,0)</f>
        <v>0</v>
      </c>
      <c r="GJ183" s="349">
        <f>IF(GB183+GC183=GJ182,1,0)</f>
        <v>0</v>
      </c>
      <c r="GK183" s="349">
        <f>IF(GB183+GC183=GK182,1,0)</f>
        <v>0</v>
      </c>
      <c r="GL183" s="349">
        <f>IF(GB183+GC183=GL182,2,IF(GB183+GC183=GL182+1,1,0))</f>
        <v>0</v>
      </c>
      <c r="GM183" s="349">
        <f>IF(GB183+GC183=GM182,1,0)</f>
        <v>0</v>
      </c>
      <c r="GN183" s="349">
        <f>IF(GB183+GC183=GN182,1,0)</f>
        <v>0</v>
      </c>
      <c r="GO183" s="349">
        <f>IF(WEEKDAY(GB183+SUM(GC183:GN183),2)=6,2,IF(WEEKDAY(GB183+SUM(GC183:GN183),2)=7,1,0))</f>
        <v>0</v>
      </c>
      <c r="GP183" s="350">
        <f>SUM(GB183:GO183)</f>
        <v>44228</v>
      </c>
      <c r="GQ183" s="351">
        <f>GP183-GB183</f>
        <v>1</v>
      </c>
    </row>
    <row r="184" spans="1:160" s="5" customFormat="1" ht="12" hidden="1">
      <c r="A184" s="156">
        <f t="shared" si="49"/>
        <v>1</v>
      </c>
      <c r="Q184" s="251">
        <f>IF(BE171=1,"dal","")</f>
      </c>
      <c r="R184" s="251">
        <f>IF(BE171=1,AT171,0)</f>
        <v>0</v>
      </c>
      <c r="S184" s="251">
        <f>IF(BE171=1,"al","")</f>
      </c>
      <c r="T184" s="251">
        <f>IF(BE171=1,AW171,0)</f>
        <v>0</v>
      </c>
      <c r="U184" s="255">
        <f>IF(BE171=1,AG171,"")</f>
      </c>
      <c r="V184" s="251">
        <f>IF(BE171=1," x   GG","")</f>
      </c>
      <c r="W184" s="251">
        <f>IF(BE171=1,AA171,"")</f>
      </c>
      <c r="X184" s="251">
        <f>IF(BE171=1,"= €","")</f>
      </c>
      <c r="Y184" s="251">
        <f>IF(BE171=1,AN171,"")</f>
      </c>
      <c r="Z184" s="251">
        <f>IF(BE171=1,AZ171,"")</f>
      </c>
      <c r="AA184" s="252">
        <f>IF(BE171=2,"dal","")</f>
      </c>
      <c r="AB184" s="252">
        <f>IF(BE171=2,AT171,0)</f>
        <v>0</v>
      </c>
      <c r="AC184" s="252">
        <f>IF(BE171=2,"al","")</f>
      </c>
      <c r="AD184" s="252">
        <f>IF(BE171=2,AW171,0)</f>
        <v>0</v>
      </c>
      <c r="AE184" s="257">
        <f>IF(BE171=2,AG171,"")</f>
      </c>
      <c r="AF184" s="252">
        <f>IF(BE171=2," x   GG","")</f>
      </c>
      <c r="AG184" s="252">
        <f>IF(BE171=2,AA171,"")</f>
      </c>
      <c r="AH184" s="252">
        <f>IF(BE171=2,"= €","")</f>
      </c>
      <c r="AI184" s="252">
        <f>IF(BE171=2,AN171,"")</f>
      </c>
      <c r="AJ184" s="252">
        <f>IF(BE171=2,AZ171,"")</f>
      </c>
      <c r="AK184" s="253">
        <f>IF(BE171=3,"dal","")</f>
      </c>
      <c r="AL184" s="253">
        <f>IF(BE171=3,AT171,0)</f>
        <v>0</v>
      </c>
      <c r="AM184" s="253">
        <f>IF(BE171=3,"al","")</f>
      </c>
      <c r="AN184" s="253">
        <f>IF(BE171=3,AW171,0)</f>
        <v>0</v>
      </c>
      <c r="AO184" s="256">
        <f>IF(BE171=3,AG171,"")</f>
      </c>
      <c r="AP184" s="253">
        <f>IF(BE171=3," x   GG","")</f>
      </c>
      <c r="AQ184" s="253">
        <f>IF(BE171=3,AA171,"")</f>
      </c>
      <c r="AR184" s="253">
        <f>IF(BE171=3,"= €","")</f>
      </c>
      <c r="AS184" s="253">
        <f>IF(BE171=3,AN171,"")</f>
      </c>
      <c r="AT184" s="253">
        <f>IF(BE171=3,AZ171,"")</f>
      </c>
      <c r="AU184" s="251">
        <f>IF(BE171=4,"dal","")</f>
      </c>
      <c r="AV184" s="251">
        <f>IF(BE171=4,AT171,0)</f>
        <v>0</v>
      </c>
      <c r="AW184" s="251">
        <f>IF(BE171=4,"al","")</f>
      </c>
      <c r="AX184" s="251">
        <f>IF(BE171=4,AW171,0)</f>
        <v>0</v>
      </c>
      <c r="AY184" s="255">
        <f>IF(BE171=4,AG171,"")</f>
      </c>
      <c r="AZ184" s="251">
        <f>IF(BE171=4," x   GG","")</f>
      </c>
      <c r="BA184" s="251">
        <f>IF(BE171=4,AA171,"")</f>
      </c>
      <c r="BB184" s="251">
        <f>IF(BE171=4,"= €","")</f>
      </c>
      <c r="BC184" s="251">
        <f>IF(BE171=4,AN171,"")</f>
      </c>
      <c r="BD184" s="251">
        <f>IF(BE171=4,AZ171,"")</f>
      </c>
      <c r="BE184" s="5" t="s">
        <v>14</v>
      </c>
      <c r="CJ184"/>
      <c r="CK184"/>
      <c r="CL184"/>
      <c r="CM184"/>
      <c r="CN184"/>
      <c r="CO184"/>
      <c r="CP184"/>
      <c r="CQ184"/>
      <c r="CR184"/>
      <c r="CS184"/>
      <c r="CT184"/>
      <c r="CU184"/>
      <c r="CV184"/>
      <c r="CW184"/>
      <c r="CX184"/>
      <c r="CY184"/>
      <c r="CZ184"/>
      <c r="DA184"/>
      <c r="DB184"/>
      <c r="DC184"/>
      <c r="DD184" s="377" t="s">
        <v>182</v>
      </c>
      <c r="DE184" s="70"/>
      <c r="DF184" s="70"/>
      <c r="DG184" s="70"/>
      <c r="DH184" s="70"/>
      <c r="DI184" s="70"/>
      <c r="DJ184" s="70"/>
      <c r="DK184" s="70"/>
      <c r="DL184" s="70"/>
      <c r="DM184" s="70"/>
      <c r="DN184" s="70"/>
      <c r="DO184" s="70"/>
      <c r="DP184" s="70"/>
      <c r="DQ184" s="505" t="str">
        <f t="shared" si="50"/>
        <v>1035</v>
      </c>
      <c r="DR184" s="505"/>
      <c r="DS184" s="71">
        <v>2</v>
      </c>
      <c r="DT184" s="505">
        <v>8906</v>
      </c>
      <c r="DU184" s="505"/>
      <c r="DV184" s="71">
        <v>1</v>
      </c>
      <c r="DW184" s="71">
        <v>2</v>
      </c>
      <c r="DX184" s="505" t="str">
        <f t="shared" si="51"/>
        <v>1035</v>
      </c>
      <c r="DY184" s="505"/>
      <c r="DZ184" s="71">
        <f t="shared" si="52"/>
        <v>2</v>
      </c>
      <c r="EA184" s="72">
        <f t="shared" si="62"/>
        <v>1</v>
      </c>
      <c r="EB184" s="72">
        <f t="shared" si="63"/>
        <v>1</v>
      </c>
      <c r="EC184" s="72">
        <f t="shared" si="53"/>
        <v>0</v>
      </c>
      <c r="ED184" s="505">
        <f t="shared" si="54"/>
        <v>0</v>
      </c>
      <c r="EE184" s="505"/>
      <c r="EF184" s="71">
        <f t="shared" si="55"/>
        <v>0</v>
      </c>
      <c r="EG184" s="505">
        <f t="shared" si="56"/>
        <v>0</v>
      </c>
      <c r="EH184" s="505"/>
      <c r="EI184" s="71">
        <f t="shared" si="57"/>
        <v>0</v>
      </c>
      <c r="EJ184" s="71">
        <f t="shared" si="58"/>
        <v>0</v>
      </c>
      <c r="EK184" s="505">
        <f t="shared" si="59"/>
        <v>0</v>
      </c>
      <c r="EL184" s="505"/>
      <c r="EM184" s="71">
        <f t="shared" si="60"/>
        <v>0</v>
      </c>
      <c r="EN184" s="488">
        <f>IF(X13&lt;&gt;"",EC184*MONTH(X13-30),0)</f>
        <v>0</v>
      </c>
      <c r="EO184" s="488"/>
      <c r="EP184" s="487">
        <f>IF(X13&lt;&gt;"",EC184*YEAR(X13-30),0)</f>
        <v>0</v>
      </c>
      <c r="EQ184" s="487"/>
      <c r="ER184" s="385">
        <f t="shared" si="64"/>
        <v>0</v>
      </c>
      <c r="ES184" s="385"/>
      <c r="ET184" s="505">
        <f t="shared" si="61"/>
        <v>0</v>
      </c>
      <c r="EU184" s="505"/>
      <c r="EV184" s="82"/>
      <c r="EW184" s="82"/>
      <c r="EX184" s="82"/>
      <c r="EY184" s="82"/>
      <c r="EZ184" s="82"/>
      <c r="FA184" s="82"/>
      <c r="FB184" s="82"/>
      <c r="FC184" s="242"/>
      <c r="FD184" s="243"/>
    </row>
    <row r="185" spans="1:160" s="5" customFormat="1" ht="12" hidden="1">
      <c r="A185" s="156">
        <f t="shared" si="49"/>
        <v>1</v>
      </c>
      <c r="Q185" s="251">
        <f>IF(BE172=1,"dal","")</f>
      </c>
      <c r="R185" s="251">
        <f>IF(BE172=1,AT172,0)</f>
        <v>0</v>
      </c>
      <c r="S185" s="251">
        <f>IF(BE172=1,"al","")</f>
      </c>
      <c r="T185" s="251">
        <f>IF(BE172=1,AW172,0)</f>
        <v>0</v>
      </c>
      <c r="U185" s="255">
        <f>IF(BE172=1,AG172,"")</f>
      </c>
      <c r="V185" s="251">
        <f>IF(BE172=1," x   GG","")</f>
      </c>
      <c r="W185" s="251">
        <f>IF(BE172=1,AA172,"")</f>
      </c>
      <c r="X185" s="251">
        <f>IF(BE172=1,"= €","")</f>
      </c>
      <c r="Y185" s="251">
        <f>IF(BE172=1,AN172,"")</f>
      </c>
      <c r="Z185" s="251">
        <f>IF(BE172=1,AZ172,"")</f>
      </c>
      <c r="AA185" s="252">
        <f>IF(BE172=2,"dal","")</f>
      </c>
      <c r="AB185" s="252">
        <f>IF(BE172=2,AT172,0)</f>
        <v>0</v>
      </c>
      <c r="AC185" s="252">
        <f>IF(BE172=2,"al","")</f>
      </c>
      <c r="AD185" s="252">
        <f>IF(BE172=2,AW172,0)</f>
        <v>0</v>
      </c>
      <c r="AE185" s="257">
        <f>IF(BE172=2,AG172,"")</f>
      </c>
      <c r="AF185" s="252">
        <f>IF(BE172=2," x   GG","")</f>
      </c>
      <c r="AG185" s="252">
        <f>IF(BE172=2,AA172,"")</f>
      </c>
      <c r="AH185" s="252">
        <f>IF(BE172=2,"= €","")</f>
      </c>
      <c r="AI185" s="252">
        <f>IF(BE172=2,AN172,"")</f>
      </c>
      <c r="AJ185" s="252">
        <f>IF(BE172=2,AZ172,"")</f>
      </c>
      <c r="AK185" s="253">
        <f>IF(BE172=3,"dal","")</f>
      </c>
      <c r="AL185" s="253">
        <f>IF(BE172=3,AT172,0)</f>
        <v>0</v>
      </c>
      <c r="AM185" s="253">
        <f>IF(BE172=3,"al","")</f>
      </c>
      <c r="AN185" s="253">
        <f>IF(BE172=3,AW172,0)</f>
        <v>0</v>
      </c>
      <c r="AO185" s="256">
        <f>IF(BE172=3,AG172,"")</f>
      </c>
      <c r="AP185" s="253">
        <f>IF(BE172=3," x   GG","")</f>
      </c>
      <c r="AQ185" s="253">
        <f>IF(BE172=3,AA172,"")</f>
      </c>
      <c r="AR185" s="253">
        <f>IF(BE172=3,"= €","")</f>
      </c>
      <c r="AS185" s="253">
        <f>IF(BE172=3,AN172,"")</f>
      </c>
      <c r="AT185" s="253">
        <f>IF(BE172=3,AZ172,"")</f>
      </c>
      <c r="AU185" s="251">
        <f>IF(BE172=4,"dal","")</f>
      </c>
      <c r="AV185" s="251">
        <f>IF(BE172=4,AT172,0)</f>
        <v>0</v>
      </c>
      <c r="AW185" s="251">
        <f>IF(BE172=4,"al","")</f>
      </c>
      <c r="AX185" s="251">
        <f>IF(BE172=4,AW172,0)</f>
        <v>0</v>
      </c>
      <c r="AY185" s="255">
        <f>IF(BE172=4,AG172,"")</f>
      </c>
      <c r="AZ185" s="251">
        <f>IF(BE172=4," x   GG","")</f>
      </c>
      <c r="BA185" s="251">
        <f>IF(BE172=4,AA172,"")</f>
      </c>
      <c r="BB185" s="251">
        <f>IF(BE172=4,"= €","")</f>
      </c>
      <c r="BC185" s="251">
        <f>IF(BE172=4,AN172,"")</f>
      </c>
      <c r="BD185" s="251">
        <f>IF(BE172=4,AZ172,"")</f>
      </c>
      <c r="BE185" s="252">
        <f>IF(BE172=5,"dal","")</f>
      </c>
      <c r="BF185" s="252">
        <f>IF(BE172=5,AT172,"")</f>
      </c>
      <c r="BG185" s="252">
        <f>IF(BE172=5,"al","")</f>
      </c>
      <c r="BH185" s="252">
        <f>IF(BE172=5,AW172,"")</f>
      </c>
      <c r="BI185" s="257">
        <f>IF(BE172=5,AG172,"")</f>
      </c>
      <c r="BJ185" s="252">
        <f>IF(BE172=5," x   GG","")</f>
      </c>
      <c r="BK185" s="252">
        <f>IF(BE172=5,AA172,"")</f>
      </c>
      <c r="BL185" s="252">
        <f>IF(BE172=5,"= €","")</f>
      </c>
      <c r="BM185" s="252">
        <f>IF(BE172=5,AN172,"")</f>
      </c>
      <c r="BN185" s="252">
        <f>IF(BE172=5,AZ172,"")</f>
      </c>
      <c r="CJ185"/>
      <c r="CK185"/>
      <c r="CL185"/>
      <c r="CM185"/>
      <c r="CN185"/>
      <c r="CO185"/>
      <c r="CP185"/>
      <c r="CQ185"/>
      <c r="CR185"/>
      <c r="CS185"/>
      <c r="CT185"/>
      <c r="CU185"/>
      <c r="CV185"/>
      <c r="CW185"/>
      <c r="CX185"/>
      <c r="CY185"/>
      <c r="CZ185"/>
      <c r="DA185"/>
      <c r="DB185"/>
      <c r="DC185"/>
      <c r="DD185" s="377" t="s">
        <v>183</v>
      </c>
      <c r="DE185" s="70"/>
      <c r="DF185" s="70"/>
      <c r="DG185" s="70"/>
      <c r="DH185" s="70"/>
      <c r="DI185" s="70"/>
      <c r="DJ185" s="70"/>
      <c r="DK185" s="70"/>
      <c r="DL185" s="70"/>
      <c r="DM185" s="70"/>
      <c r="DN185" s="70"/>
      <c r="DO185" s="70"/>
      <c r="DP185" s="70"/>
      <c r="DQ185" s="505" t="str">
        <f t="shared" si="50"/>
        <v>1036</v>
      </c>
      <c r="DR185" s="505"/>
      <c r="DS185" s="71">
        <v>2</v>
      </c>
      <c r="DT185" s="505">
        <v>8906</v>
      </c>
      <c r="DU185" s="505"/>
      <c r="DV185" s="71">
        <v>1</v>
      </c>
      <c r="DW185" s="71">
        <v>2</v>
      </c>
      <c r="DX185" s="505" t="str">
        <f t="shared" si="51"/>
        <v>1036</v>
      </c>
      <c r="DY185" s="505"/>
      <c r="DZ185" s="71">
        <f t="shared" si="52"/>
        <v>2</v>
      </c>
      <c r="EA185" s="72">
        <f t="shared" si="62"/>
        <v>1</v>
      </c>
      <c r="EB185" s="72">
        <f t="shared" si="63"/>
        <v>1</v>
      </c>
      <c r="EC185" s="72">
        <f t="shared" si="53"/>
        <v>0</v>
      </c>
      <c r="ED185" s="505">
        <f t="shared" si="54"/>
        <v>0</v>
      </c>
      <c r="EE185" s="505"/>
      <c r="EF185" s="71">
        <f t="shared" si="55"/>
        <v>0</v>
      </c>
      <c r="EG185" s="505">
        <f t="shared" si="56"/>
        <v>0</v>
      </c>
      <c r="EH185" s="505"/>
      <c r="EI185" s="71">
        <f t="shared" si="57"/>
        <v>0</v>
      </c>
      <c r="EJ185" s="71">
        <f t="shared" si="58"/>
        <v>0</v>
      </c>
      <c r="EK185" s="505">
        <f t="shared" si="59"/>
        <v>0</v>
      </c>
      <c r="EL185" s="505"/>
      <c r="EM185" s="71">
        <f t="shared" si="60"/>
        <v>0</v>
      </c>
      <c r="EN185" s="488">
        <f>IF(X13&lt;&gt;"",EC185*MONTH(X13-30),0)</f>
        <v>0</v>
      </c>
      <c r="EO185" s="488"/>
      <c r="EP185" s="487">
        <f>IF(X13&lt;&gt;"",EC185*YEAR(X13-30),0)</f>
        <v>0</v>
      </c>
      <c r="EQ185" s="487"/>
      <c r="ER185" s="385">
        <f t="shared" si="64"/>
        <v>0</v>
      </c>
      <c r="ES185" s="385"/>
      <c r="ET185" s="505">
        <f t="shared" si="61"/>
        <v>0</v>
      </c>
      <c r="EU185" s="505"/>
      <c r="EV185" s="82"/>
      <c r="EW185" s="82"/>
      <c r="EX185" s="82"/>
      <c r="EY185" s="82"/>
      <c r="EZ185" s="82"/>
      <c r="FA185" s="82"/>
      <c r="FB185" s="82"/>
      <c r="FC185" s="242"/>
      <c r="FD185" s="243"/>
    </row>
    <row r="186" spans="1:160" s="5" customFormat="1" ht="12" hidden="1">
      <c r="A186" s="156">
        <f t="shared" si="49"/>
        <v>1</v>
      </c>
      <c r="Q186" s="313">
        <f>CONCATENATE(Q181,Q182,Q183,Q184,Q185)</f>
      </c>
      <c r="R186" s="314">
        <f>IF(SUM(R181:R185)&gt;0,SUM(R181:R185),"")</f>
      </c>
      <c r="S186" s="313">
        <f>CONCATENATE(S181,S182,S183,S184,S185)</f>
      </c>
      <c r="T186" s="314">
        <f>IF(SUM(T181:T185)&gt;0,SUM(T181:T185),"")</f>
      </c>
      <c r="U186" s="315">
        <f>IF(SUM(U181:U185)&gt;0,SUM(U181:U185),"")</f>
      </c>
      <c r="V186" s="313">
        <f>CONCATENATE(V181,V182,V183,V184,V185)</f>
      </c>
      <c r="W186" s="316">
        <f>IF(SUM(W181:W185)&gt;0,SUM(W181:W185),"")</f>
      </c>
      <c r="X186" s="313">
        <f>CONCATENATE(X181,X182,X183,X184,X185)</f>
      </c>
      <c r="Y186" s="316">
        <f>IF(SUM(Y181:Y185)&gt;0,SUM(Y181:Y185),"")</f>
      </c>
      <c r="Z186" s="313">
        <f>CONCATENATE(Z181,Z182,Z183,Z184,Z185)</f>
      </c>
      <c r="AA186" s="313">
        <f>CONCATENATE(AA182,AA183,AA184,AA185)</f>
      </c>
      <c r="AB186" s="314">
        <f>IF(SUM(AB182:AB185)&gt;0,SUM(AB182:AB185),"")</f>
      </c>
      <c r="AC186" s="313">
        <f>CONCATENATE(AC182,AC183,AC184,AC185)</f>
      </c>
      <c r="AD186" s="314">
        <f>IF(SUM(AD182:AD185)&gt;0,SUM(AD182:AD185),"")</f>
      </c>
      <c r="AE186" s="315">
        <f>IF(SUM(AE182:AE185)&gt;0,SUM(AE182:AE185),"")</f>
      </c>
      <c r="AF186" s="313">
        <f>CONCATENATE(AF182,AF183,AF184,AF185)</f>
      </c>
      <c r="AG186" s="316">
        <f>IF(SUM(AG182:AG185)&gt;0,SUM(AG182:AG185),"")</f>
      </c>
      <c r="AH186" s="313">
        <f>CONCATENATE(AH182,AH183,AH184,AH185)</f>
      </c>
      <c r="AI186" s="316">
        <f>IF(SUM(AI182:AI185)&gt;0,SUM(AI182:AI185),"")</f>
      </c>
      <c r="AJ186" s="313">
        <f>CONCATENATE(AJ182,AJ183,AJ184,AJ185)</f>
      </c>
      <c r="AK186" s="313">
        <f>CONCATENATE(AK183,AK184,AK185)</f>
      </c>
      <c r="AL186" s="314">
        <f>IF(SUM(AL183:AL185)&gt;0,SUM(AL183:AL185),"")</f>
      </c>
      <c r="AM186" s="313">
        <f>CONCATENATE(AM183,AM184,AM185)</f>
      </c>
      <c r="AN186" s="314">
        <f>IF(SUM(AN183:AN185)&gt;0,SUM(AN183:AN185),"")</f>
      </c>
      <c r="AO186" s="315">
        <f>IF(SUM(AO183:AO185)&gt;0,SUM(AO183:AO185),"")</f>
      </c>
      <c r="AP186" s="313">
        <f>CONCATENATE(AP183,AP184,AP185)</f>
      </c>
      <c r="AQ186" s="316">
        <f>IF(SUM(AQ183:AQ185)&gt;0,SUM(AQ183:AQ185),"")</f>
      </c>
      <c r="AR186" s="313">
        <f>CONCATENATE(AR183,AR184,AR185)</f>
      </c>
      <c r="AS186" s="316">
        <f>IF(SUM(AS183:AS185)&gt;0,SUM(AS183:AS185),"")</f>
      </c>
      <c r="AT186" s="313">
        <f>CONCATENATE(AT183,AT184,AT185)</f>
      </c>
      <c r="AU186" s="313">
        <f>CONCATENATE(AU184,AU185)</f>
      </c>
      <c r="AV186" s="314">
        <f>IF(SUM(AV184:AV185)&gt;0,SUM(AV184:AV185),"")</f>
      </c>
      <c r="AW186" s="313">
        <f>CONCATENATE(AW184,AW185)</f>
      </c>
      <c r="AX186" s="314">
        <f>IF(SUM(AX184:AX185)&gt;0,SUM(AX184:AX185),"")</f>
      </c>
      <c r="AY186" s="315">
        <f>IF(SUM(AY184:AY185)&gt;0,SUM(AY184:AY185),"")</f>
      </c>
      <c r="AZ186" s="313">
        <f>CONCATENATE(AZ184,AZ185)</f>
      </c>
      <c r="BA186" s="316">
        <f>IF(SUM(BA184:BA185)&gt;0,SUM(BA184:BA185),"")</f>
      </c>
      <c r="BB186" s="313">
        <f>CONCATENATE(BB184,BB185)</f>
      </c>
      <c r="BC186" s="316">
        <f>IF(SUM(BC184:BC185)&gt;0,SUM(BC184:BC185),"")</f>
      </c>
      <c r="BD186" s="313">
        <f>CONCATENATE(BD184,BD185)</f>
      </c>
      <c r="BE186" s="159">
        <f>BE185</f>
      </c>
      <c r="BF186" s="259">
        <f>IF(BF185&gt;0,BF185,"")</f>
      </c>
      <c r="BG186" s="159">
        <f>BG185</f>
      </c>
      <c r="BH186" s="259">
        <f>IF(BH185&gt;0,BH185,"")</f>
      </c>
      <c r="BI186" s="260">
        <f>IF(BI185&gt;0,BI185,"")</f>
      </c>
      <c r="BJ186" s="159">
        <f>BJ185</f>
      </c>
      <c r="BK186" s="259">
        <f>IF(BK185&gt;0,BK185,"")</f>
      </c>
      <c r="BL186" s="159">
        <f>BL185</f>
      </c>
      <c r="BM186" s="259">
        <f>IF(BM185&gt;0,BM185,"")</f>
      </c>
      <c r="BN186" s="159">
        <f>BN185</f>
      </c>
      <c r="CG186"/>
      <c r="CH186"/>
      <c r="CI186"/>
      <c r="CJ186"/>
      <c r="CK186"/>
      <c r="CL186"/>
      <c r="CM186"/>
      <c r="CN186"/>
      <c r="CO186"/>
      <c r="CP186"/>
      <c r="CQ186"/>
      <c r="CR186"/>
      <c r="CS186"/>
      <c r="CT186"/>
      <c r="CU186"/>
      <c r="CV186"/>
      <c r="CW186"/>
      <c r="CX186"/>
      <c r="CY186"/>
      <c r="CZ186"/>
      <c r="DA186"/>
      <c r="DB186"/>
      <c r="DC186"/>
      <c r="DD186" s="70" t="s">
        <v>184</v>
      </c>
      <c r="DE186" s="70"/>
      <c r="DF186" s="70"/>
      <c r="DG186" s="70"/>
      <c r="DH186" s="70"/>
      <c r="DI186" s="70"/>
      <c r="DJ186" s="70"/>
      <c r="DK186" s="70"/>
      <c r="DL186" s="70"/>
      <c r="DM186" s="70"/>
      <c r="DN186" s="70"/>
      <c r="DO186" s="70"/>
      <c r="DP186" s="70"/>
      <c r="DQ186" s="505" t="str">
        <f t="shared" si="50"/>
        <v>1040</v>
      </c>
      <c r="DR186" s="505"/>
      <c r="DS186" s="71">
        <v>2</v>
      </c>
      <c r="DT186" s="505">
        <v>8906</v>
      </c>
      <c r="DU186" s="505"/>
      <c r="DV186" s="71">
        <v>1</v>
      </c>
      <c r="DW186" s="71">
        <v>2</v>
      </c>
      <c r="DX186" s="505" t="str">
        <f t="shared" si="51"/>
        <v>1040</v>
      </c>
      <c r="DY186" s="505"/>
      <c r="DZ186" s="71">
        <f t="shared" si="52"/>
        <v>2</v>
      </c>
      <c r="EA186" s="72">
        <f t="shared" si="62"/>
        <v>1</v>
      </c>
      <c r="EB186" s="72">
        <f t="shared" si="63"/>
        <v>1</v>
      </c>
      <c r="EC186" s="72">
        <f t="shared" si="53"/>
        <v>0</v>
      </c>
      <c r="ED186" s="505">
        <f t="shared" si="54"/>
        <v>0</v>
      </c>
      <c r="EE186" s="505"/>
      <c r="EF186" s="71">
        <f t="shared" si="55"/>
        <v>0</v>
      </c>
      <c r="EG186" s="505">
        <f t="shared" si="56"/>
        <v>0</v>
      </c>
      <c r="EH186" s="505"/>
      <c r="EI186" s="71">
        <f t="shared" si="57"/>
        <v>0</v>
      </c>
      <c r="EJ186" s="71">
        <f t="shared" si="58"/>
        <v>0</v>
      </c>
      <c r="EK186" s="505">
        <f t="shared" si="59"/>
        <v>0</v>
      </c>
      <c r="EL186" s="505"/>
      <c r="EM186" s="71">
        <f t="shared" si="60"/>
        <v>0</v>
      </c>
      <c r="EN186" s="488">
        <f>IF(X13&lt;&gt;"",EC186*MONTH(X13-30),0)</f>
        <v>0</v>
      </c>
      <c r="EO186" s="488"/>
      <c r="EP186" s="487">
        <f>IF(X13&lt;&gt;"",EC186*YEAR(X13-30),0)</f>
        <v>0</v>
      </c>
      <c r="EQ186" s="487"/>
      <c r="ER186" s="385">
        <f t="shared" si="64"/>
        <v>0</v>
      </c>
      <c r="ES186" s="385"/>
      <c r="ET186" s="505">
        <f t="shared" si="61"/>
        <v>0</v>
      </c>
      <c r="EU186" s="505"/>
      <c r="EV186" s="82"/>
      <c r="EW186" s="82"/>
      <c r="EX186" s="82"/>
      <c r="EY186" s="82"/>
      <c r="EZ186" s="82"/>
      <c r="FA186" s="82"/>
      <c r="FB186" s="82"/>
      <c r="FC186" s="242"/>
      <c r="FD186" s="243"/>
    </row>
    <row r="187" spans="1:160" s="5" customFormat="1" ht="12" hidden="1">
      <c r="A187" s="156">
        <f t="shared" si="49"/>
        <v>1</v>
      </c>
      <c r="U187" s="260"/>
      <c r="V187" s="224"/>
      <c r="W187" s="259"/>
      <c r="Z187" s="224"/>
      <c r="AD187" s="224"/>
      <c r="AH187" s="224"/>
      <c r="CG187"/>
      <c r="CH187"/>
      <c r="CI187"/>
      <c r="CJ187"/>
      <c r="CK187"/>
      <c r="CL187"/>
      <c r="CM187"/>
      <c r="CN187"/>
      <c r="CO187"/>
      <c r="CP187"/>
      <c r="CQ187"/>
      <c r="CR187"/>
      <c r="CS187"/>
      <c r="CT187"/>
      <c r="CU187"/>
      <c r="CV187"/>
      <c r="CW187"/>
      <c r="CX187"/>
      <c r="CY187"/>
      <c r="CZ187"/>
      <c r="DA187"/>
      <c r="DB187"/>
      <c r="DC187"/>
      <c r="DD187" s="70" t="s">
        <v>185</v>
      </c>
      <c r="DE187" s="70"/>
      <c r="DF187" s="70"/>
      <c r="DG187" s="70"/>
      <c r="DH187" s="70"/>
      <c r="DI187" s="70"/>
      <c r="DJ187" s="70"/>
      <c r="DK187" s="70"/>
      <c r="DL187" s="70"/>
      <c r="DM187" s="70"/>
      <c r="DN187" s="70"/>
      <c r="DO187" s="70"/>
      <c r="DP187" s="70"/>
      <c r="DQ187" s="505" t="str">
        <f t="shared" si="50"/>
        <v>1712</v>
      </c>
      <c r="DR187" s="505"/>
      <c r="DS187" s="71">
        <v>2</v>
      </c>
      <c r="DT187" s="505">
        <v>8906</v>
      </c>
      <c r="DU187" s="505"/>
      <c r="DV187" s="71">
        <v>1</v>
      </c>
      <c r="DW187" s="71">
        <v>2</v>
      </c>
      <c r="DX187" s="505" t="str">
        <f t="shared" si="51"/>
        <v>1712</v>
      </c>
      <c r="DY187" s="505"/>
      <c r="DZ187" s="71">
        <f t="shared" si="52"/>
        <v>2</v>
      </c>
      <c r="EA187" s="72">
        <f t="shared" si="62"/>
        <v>1</v>
      </c>
      <c r="EB187" s="72">
        <f t="shared" si="63"/>
        <v>1</v>
      </c>
      <c r="EC187" s="72">
        <f t="shared" si="53"/>
        <v>0</v>
      </c>
      <c r="ED187" s="505">
        <f t="shared" si="54"/>
        <v>0</v>
      </c>
      <c r="EE187" s="505"/>
      <c r="EF187" s="71">
        <f t="shared" si="55"/>
        <v>0</v>
      </c>
      <c r="EG187" s="505">
        <f t="shared" si="56"/>
        <v>0</v>
      </c>
      <c r="EH187" s="505"/>
      <c r="EI187" s="71">
        <f t="shared" si="57"/>
        <v>0</v>
      </c>
      <c r="EJ187" s="71">
        <f t="shared" si="58"/>
        <v>0</v>
      </c>
      <c r="EK187" s="505">
        <f t="shared" si="59"/>
        <v>0</v>
      </c>
      <c r="EL187" s="505"/>
      <c r="EM187" s="71">
        <f t="shared" si="60"/>
        <v>0</v>
      </c>
      <c r="EN187" s="488">
        <f>IF(X13&lt;&gt;"",EC187*12,0)</f>
        <v>0</v>
      </c>
      <c r="EO187" s="488"/>
      <c r="EP187" s="487">
        <f>IF(X13&lt;&gt;"",EC187*YEAR(X13),0)</f>
        <v>0</v>
      </c>
      <c r="EQ187" s="487"/>
      <c r="ER187" s="385">
        <f t="shared" si="64"/>
        <v>0</v>
      </c>
      <c r="ES187" s="385"/>
      <c r="ET187" s="505">
        <f t="shared" si="61"/>
        <v>0</v>
      </c>
      <c r="EU187" s="505"/>
      <c r="EV187" s="82"/>
      <c r="EW187" s="82"/>
      <c r="EX187" s="82"/>
      <c r="EY187" s="82"/>
      <c r="EZ187" s="82"/>
      <c r="FA187" s="82"/>
      <c r="FB187" s="82"/>
      <c r="FC187" s="242"/>
      <c r="FD187" s="243"/>
    </row>
    <row r="188" spans="1:160" s="5" customFormat="1" ht="12" hidden="1">
      <c r="A188" s="156">
        <f t="shared" si="49"/>
        <v>1</v>
      </c>
      <c r="V188" s="224"/>
      <c r="Z188" s="224"/>
      <c r="AD188" s="224"/>
      <c r="AH188" s="224"/>
      <c r="AL188" s="224"/>
      <c r="AP188" s="224"/>
      <c r="AQ188" s="224"/>
      <c r="CG188"/>
      <c r="CH188"/>
      <c r="CI188"/>
      <c r="CJ188"/>
      <c r="CK188"/>
      <c r="CL188"/>
      <c r="CM188"/>
      <c r="CN188"/>
      <c r="CO188"/>
      <c r="CP188"/>
      <c r="CQ188"/>
      <c r="CR188"/>
      <c r="CS188"/>
      <c r="CT188"/>
      <c r="CU188"/>
      <c r="CV188"/>
      <c r="CW188"/>
      <c r="CX188"/>
      <c r="CY188"/>
      <c r="CZ188"/>
      <c r="DA188"/>
      <c r="DB188"/>
      <c r="DC188"/>
      <c r="DD188" s="70" t="s">
        <v>186</v>
      </c>
      <c r="DE188" s="70"/>
      <c r="DF188" s="70"/>
      <c r="DG188" s="70"/>
      <c r="DH188" s="70"/>
      <c r="DI188" s="70"/>
      <c r="DJ188" s="70"/>
      <c r="DK188" s="70"/>
      <c r="DL188" s="70"/>
      <c r="DM188" s="70"/>
      <c r="DN188" s="70"/>
      <c r="DO188" s="70"/>
      <c r="DP188" s="70"/>
      <c r="DQ188" s="505" t="str">
        <f t="shared" si="50"/>
        <v>1713</v>
      </c>
      <c r="DR188" s="505"/>
      <c r="DS188" s="71">
        <v>2</v>
      </c>
      <c r="DT188" s="505">
        <v>8906</v>
      </c>
      <c r="DU188" s="505"/>
      <c r="DV188" s="71">
        <v>1</v>
      </c>
      <c r="DW188" s="71">
        <v>2</v>
      </c>
      <c r="DX188" s="505" t="str">
        <f t="shared" si="51"/>
        <v>1713</v>
      </c>
      <c r="DY188" s="505"/>
      <c r="DZ188" s="71">
        <f t="shared" si="52"/>
        <v>2</v>
      </c>
      <c r="EA188" s="72">
        <f t="shared" si="62"/>
        <v>1</v>
      </c>
      <c r="EB188" s="72">
        <f t="shared" si="63"/>
        <v>1</v>
      </c>
      <c r="EC188" s="72">
        <f t="shared" si="53"/>
        <v>0</v>
      </c>
      <c r="ED188" s="505">
        <f t="shared" si="54"/>
        <v>0</v>
      </c>
      <c r="EE188" s="505"/>
      <c r="EF188" s="71">
        <f t="shared" si="55"/>
        <v>0</v>
      </c>
      <c r="EG188" s="505">
        <f t="shared" si="56"/>
        <v>0</v>
      </c>
      <c r="EH188" s="505"/>
      <c r="EI188" s="71">
        <f t="shared" si="57"/>
        <v>0</v>
      </c>
      <c r="EJ188" s="71">
        <f t="shared" si="58"/>
        <v>0</v>
      </c>
      <c r="EK188" s="505">
        <f t="shared" si="59"/>
        <v>0</v>
      </c>
      <c r="EL188" s="505"/>
      <c r="EM188" s="71">
        <f t="shared" si="60"/>
        <v>0</v>
      </c>
      <c r="EN188" s="488">
        <f>IF(X13&lt;&gt;"",EC188*12,0)</f>
        <v>0</v>
      </c>
      <c r="EO188" s="488"/>
      <c r="EP188" s="487">
        <f>IF(X13&lt;&gt;"",EC188*(YEAR(X13)-1),0)</f>
        <v>0</v>
      </c>
      <c r="EQ188" s="487"/>
      <c r="ER188" s="385">
        <f t="shared" si="64"/>
        <v>0</v>
      </c>
      <c r="ES188" s="385"/>
      <c r="ET188" s="505">
        <f t="shared" si="61"/>
        <v>0</v>
      </c>
      <c r="EU188" s="505"/>
      <c r="EV188" s="82"/>
      <c r="EW188" s="82"/>
      <c r="EX188" s="82"/>
      <c r="EY188" s="82"/>
      <c r="EZ188" s="82"/>
      <c r="FA188" s="82"/>
      <c r="FB188" s="82"/>
      <c r="FC188" s="242"/>
      <c r="FD188" s="243"/>
    </row>
    <row r="189" spans="1:160" s="5" customFormat="1" ht="12" hidden="1">
      <c r="A189" s="156">
        <f t="shared" si="49"/>
        <v>1</v>
      </c>
      <c r="B189" s="223"/>
      <c r="C189" s="223"/>
      <c r="D189" s="223"/>
      <c r="E189" s="146"/>
      <c r="F189" s="223"/>
      <c r="G189" s="223"/>
      <c r="H189" s="223"/>
      <c r="I189" s="146"/>
      <c r="J189" s="224"/>
      <c r="K189" s="223"/>
      <c r="L189" s="223"/>
      <c r="M189" s="223"/>
      <c r="N189" s="224"/>
      <c r="O189" s="223"/>
      <c r="P189" s="223"/>
      <c r="Q189" s="223"/>
      <c r="R189" s="224"/>
      <c r="S189" s="223"/>
      <c r="T189" s="223"/>
      <c r="U189" s="223"/>
      <c r="V189" s="224"/>
      <c r="W189" s="223"/>
      <c r="X189" s="223"/>
      <c r="Y189" s="223"/>
      <c r="Z189" s="224"/>
      <c r="AA189" s="223"/>
      <c r="AB189" s="223"/>
      <c r="AC189" s="223"/>
      <c r="AD189" s="224"/>
      <c r="AE189" s="223"/>
      <c r="AF189" s="223"/>
      <c r="AG189" s="223"/>
      <c r="AH189" s="224"/>
      <c r="AI189" s="223"/>
      <c r="AJ189" s="223"/>
      <c r="AK189" s="223"/>
      <c r="AL189" s="224"/>
      <c r="AM189" s="223"/>
      <c r="AN189" s="223"/>
      <c r="AO189" s="223"/>
      <c r="AP189" s="224"/>
      <c r="AQ189" s="224"/>
      <c r="AR189" s="146"/>
      <c r="AS189" s="146"/>
      <c r="AT189" s="146"/>
      <c r="AU189" s="146"/>
      <c r="AV189" s="146"/>
      <c r="AW189" s="146"/>
      <c r="AX189" s="146"/>
      <c r="AY189" s="146"/>
      <c r="AZ189" s="146"/>
      <c r="BA189" s="146"/>
      <c r="BB189" s="146"/>
      <c r="BC189" s="146"/>
      <c r="BD189" s="146"/>
      <c r="BE189" s="146"/>
      <c r="BF189" s="146"/>
      <c r="BG189" s="146"/>
      <c r="BH189" s="146"/>
      <c r="BI189" s="146"/>
      <c r="BJ189" s="146"/>
      <c r="CG189"/>
      <c r="CH189"/>
      <c r="CI189"/>
      <c r="CJ189"/>
      <c r="CK189"/>
      <c r="CL189"/>
      <c r="CM189"/>
      <c r="CN189"/>
      <c r="CO189"/>
      <c r="CP189"/>
      <c r="CQ189"/>
      <c r="CR189"/>
      <c r="CS189"/>
      <c r="CT189"/>
      <c r="CU189"/>
      <c r="CV189"/>
      <c r="CW189"/>
      <c r="CX189"/>
      <c r="CY189"/>
      <c r="CZ189"/>
      <c r="DA189"/>
      <c r="DB189"/>
      <c r="DC189"/>
      <c r="DD189" s="70" t="s">
        <v>187</v>
      </c>
      <c r="DE189" s="70"/>
      <c r="DF189" s="70"/>
      <c r="DG189" s="70"/>
      <c r="DH189" s="70"/>
      <c r="DI189" s="70"/>
      <c r="DJ189" s="70"/>
      <c r="DK189" s="70"/>
      <c r="DL189" s="70"/>
      <c r="DM189" s="70"/>
      <c r="DN189" s="70"/>
      <c r="DO189" s="70"/>
      <c r="DP189" s="70"/>
      <c r="DQ189" s="505" t="str">
        <f t="shared" si="50"/>
        <v>1845</v>
      </c>
      <c r="DR189" s="505"/>
      <c r="DS189" s="71">
        <v>2</v>
      </c>
      <c r="DT189" s="505">
        <v>8906</v>
      </c>
      <c r="DU189" s="505"/>
      <c r="DV189" s="71">
        <v>1</v>
      </c>
      <c r="DW189" s="71">
        <v>2</v>
      </c>
      <c r="DX189" s="505" t="str">
        <f t="shared" si="51"/>
        <v>1845</v>
      </c>
      <c r="DY189" s="505"/>
      <c r="DZ189" s="71">
        <f t="shared" si="52"/>
        <v>2</v>
      </c>
      <c r="EA189" s="72">
        <f t="shared" si="62"/>
        <v>1</v>
      </c>
      <c r="EB189" s="72">
        <f t="shared" si="63"/>
        <v>1</v>
      </c>
      <c r="EC189" s="72">
        <f t="shared" si="53"/>
        <v>0</v>
      </c>
      <c r="ED189" s="505">
        <f t="shared" si="54"/>
        <v>0</v>
      </c>
      <c r="EE189" s="505"/>
      <c r="EF189" s="71">
        <f t="shared" si="55"/>
        <v>0</v>
      </c>
      <c r="EG189" s="505">
        <f t="shared" si="56"/>
        <v>0</v>
      </c>
      <c r="EH189" s="505"/>
      <c r="EI189" s="71">
        <f t="shared" si="57"/>
        <v>0</v>
      </c>
      <c r="EJ189" s="71">
        <f t="shared" si="58"/>
        <v>0</v>
      </c>
      <c r="EK189" s="505">
        <f t="shared" si="59"/>
        <v>0</v>
      </c>
      <c r="EL189" s="505"/>
      <c r="EM189" s="71">
        <f t="shared" si="60"/>
        <v>0</v>
      </c>
      <c r="EN189" s="488">
        <f>IF(X13&lt;&gt;"",EC189*MONTH(X13-30),0)</f>
        <v>0</v>
      </c>
      <c r="EO189" s="488"/>
      <c r="EP189" s="487">
        <f>IF(X13&lt;&gt;"",EC189*YEAR(X13-30),0)</f>
        <v>0</v>
      </c>
      <c r="EQ189" s="487"/>
      <c r="ER189" s="385">
        <f t="shared" si="64"/>
        <v>0</v>
      </c>
      <c r="ES189" s="385"/>
      <c r="ET189" s="505">
        <f t="shared" si="61"/>
        <v>0</v>
      </c>
      <c r="EU189" s="505"/>
      <c r="EV189" s="82"/>
      <c r="EW189" s="82"/>
      <c r="EX189" s="82"/>
      <c r="EY189" s="82"/>
      <c r="EZ189" s="82"/>
      <c r="FA189" s="82"/>
      <c r="FB189" s="82"/>
      <c r="FC189" s="242"/>
      <c r="FD189" s="243"/>
    </row>
    <row r="190" spans="1:160" s="5" customFormat="1" ht="12" hidden="1">
      <c r="A190" s="156">
        <f t="shared" si="49"/>
        <v>1</v>
      </c>
      <c r="B190" s="223"/>
      <c r="C190" s="223"/>
      <c r="D190" s="223"/>
      <c r="E190" s="146"/>
      <c r="F190" s="223"/>
      <c r="G190" s="223"/>
      <c r="H190" s="223"/>
      <c r="I190" s="146"/>
      <c r="J190" s="224"/>
      <c r="K190" s="223"/>
      <c r="L190" s="223"/>
      <c r="M190" s="223"/>
      <c r="N190" s="224"/>
      <c r="O190" s="223"/>
      <c r="P190" s="223"/>
      <c r="Q190" s="223"/>
      <c r="R190" s="224"/>
      <c r="S190" s="223"/>
      <c r="T190" s="223"/>
      <c r="U190" s="223"/>
      <c r="V190" s="224"/>
      <c r="W190" s="223"/>
      <c r="X190" s="223"/>
      <c r="Y190" s="223"/>
      <c r="Z190" s="224"/>
      <c r="AA190" s="223"/>
      <c r="AB190" s="223"/>
      <c r="AC190" s="223"/>
      <c r="AD190" s="224"/>
      <c r="AE190" s="223"/>
      <c r="AF190" s="223"/>
      <c r="AG190" s="223"/>
      <c r="AH190" s="224"/>
      <c r="AI190" s="223"/>
      <c r="AJ190" s="223"/>
      <c r="AK190" s="223"/>
      <c r="AL190" s="224"/>
      <c r="AM190" s="223"/>
      <c r="AN190" s="223"/>
      <c r="AO190" s="223"/>
      <c r="AP190" s="224"/>
      <c r="AQ190" s="224"/>
      <c r="AR190" s="146"/>
      <c r="AS190" s="146"/>
      <c r="AT190" s="146"/>
      <c r="AU190" s="146"/>
      <c r="AV190" s="146"/>
      <c r="AW190" s="146"/>
      <c r="AX190" s="146"/>
      <c r="AY190" s="146"/>
      <c r="AZ190" s="146"/>
      <c r="BA190" s="146"/>
      <c r="BB190" s="146"/>
      <c r="BC190" s="146"/>
      <c r="BD190" s="146"/>
      <c r="BE190" s="146"/>
      <c r="BF190" s="146"/>
      <c r="BG190" s="146"/>
      <c r="BH190" s="146"/>
      <c r="BI190" s="146"/>
      <c r="BJ190" s="146"/>
      <c r="CG190"/>
      <c r="CH190"/>
      <c r="CI190"/>
      <c r="CJ190"/>
      <c r="CK190"/>
      <c r="CL190"/>
      <c r="CM190"/>
      <c r="CN190"/>
      <c r="CO190"/>
      <c r="CP190"/>
      <c r="CQ190"/>
      <c r="CR190"/>
      <c r="CS190"/>
      <c r="CT190"/>
      <c r="CU190"/>
      <c r="CV190"/>
      <c r="CW190"/>
      <c r="CX190"/>
      <c r="CY190"/>
      <c r="CZ190"/>
      <c r="DA190"/>
      <c r="DB190"/>
      <c r="DC190"/>
      <c r="DD190" s="70" t="s">
        <v>188</v>
      </c>
      <c r="DE190" s="70"/>
      <c r="DF190" s="70"/>
      <c r="DG190" s="70"/>
      <c r="DH190" s="70"/>
      <c r="DI190" s="70"/>
      <c r="DJ190" s="70"/>
      <c r="DK190" s="70"/>
      <c r="DL190" s="70"/>
      <c r="DM190" s="70"/>
      <c r="DN190" s="70"/>
      <c r="DO190" s="70"/>
      <c r="DP190" s="70"/>
      <c r="DQ190" s="505" t="str">
        <f t="shared" si="50"/>
        <v>1846</v>
      </c>
      <c r="DR190" s="505"/>
      <c r="DS190" s="71">
        <v>2</v>
      </c>
      <c r="DT190" s="505">
        <v>8906</v>
      </c>
      <c r="DU190" s="505"/>
      <c r="DV190" s="71">
        <v>1</v>
      </c>
      <c r="DW190" s="71">
        <v>2</v>
      </c>
      <c r="DX190" s="505" t="str">
        <f t="shared" si="51"/>
        <v>1846</v>
      </c>
      <c r="DY190" s="505"/>
      <c r="DZ190" s="71">
        <f t="shared" si="52"/>
        <v>2</v>
      </c>
      <c r="EA190" s="72">
        <f t="shared" si="62"/>
        <v>1</v>
      </c>
      <c r="EB190" s="72">
        <f t="shared" si="63"/>
        <v>1</v>
      </c>
      <c r="EC190" s="72">
        <f t="shared" si="53"/>
        <v>0</v>
      </c>
      <c r="ED190" s="505">
        <f t="shared" si="54"/>
        <v>0</v>
      </c>
      <c r="EE190" s="505"/>
      <c r="EF190" s="71">
        <f t="shared" si="55"/>
        <v>0</v>
      </c>
      <c r="EG190" s="505">
        <f t="shared" si="56"/>
        <v>0</v>
      </c>
      <c r="EH190" s="505"/>
      <c r="EI190" s="71">
        <f t="shared" si="57"/>
        <v>0</v>
      </c>
      <c r="EJ190" s="71">
        <f t="shared" si="58"/>
        <v>0</v>
      </c>
      <c r="EK190" s="505">
        <f t="shared" si="59"/>
        <v>0</v>
      </c>
      <c r="EL190" s="505"/>
      <c r="EM190" s="71">
        <f t="shared" si="60"/>
        <v>0</v>
      </c>
      <c r="EN190" s="488">
        <f>IF(X13&lt;&gt;"",EC190*MONTH(X13-30),0)</f>
        <v>0</v>
      </c>
      <c r="EO190" s="488"/>
      <c r="EP190" s="487">
        <f>IF(X13&lt;&gt;"",EC190*(YEAR(X13-30)-1),0)</f>
        <v>0</v>
      </c>
      <c r="EQ190" s="487"/>
      <c r="ER190" s="385">
        <f t="shared" si="64"/>
        <v>0</v>
      </c>
      <c r="ES190" s="385"/>
      <c r="ET190" s="505">
        <f t="shared" si="61"/>
        <v>0</v>
      </c>
      <c r="EU190" s="505"/>
      <c r="EV190" s="82"/>
      <c r="EW190" s="82"/>
      <c r="EX190" s="82"/>
      <c r="EY190" s="82"/>
      <c r="EZ190" s="82"/>
      <c r="FA190" s="82"/>
      <c r="FB190" s="82"/>
      <c r="FC190" s="242"/>
      <c r="FD190" s="243"/>
    </row>
    <row r="191" spans="1:213" ht="12" hidden="1">
      <c r="A191" s="156">
        <f t="shared" si="49"/>
        <v>1</v>
      </c>
      <c r="B191" s="146"/>
      <c r="C191" s="223"/>
      <c r="D191" s="223"/>
      <c r="E191" s="146"/>
      <c r="F191" s="223"/>
      <c r="G191" s="223"/>
      <c r="H191" s="223"/>
      <c r="I191" s="146"/>
      <c r="J191" s="224"/>
      <c r="K191" s="223"/>
      <c r="L191" s="223"/>
      <c r="M191" s="223"/>
      <c r="N191" s="224"/>
      <c r="O191" s="223"/>
      <c r="P191" s="223"/>
      <c r="Q191" s="223"/>
      <c r="R191" s="224"/>
      <c r="S191" s="223"/>
      <c r="T191" s="223"/>
      <c r="U191" s="223"/>
      <c r="V191" s="224"/>
      <c r="W191" s="223"/>
      <c r="X191" s="223"/>
      <c r="Y191" s="223"/>
      <c r="Z191" s="224"/>
      <c r="AA191" s="223"/>
      <c r="AB191" s="223"/>
      <c r="AC191" s="223"/>
      <c r="AD191" s="224"/>
      <c r="AE191" s="223"/>
      <c r="AF191" s="223"/>
      <c r="AG191" s="223"/>
      <c r="AH191" s="224"/>
      <c r="AI191" s="223"/>
      <c r="AJ191" s="223"/>
      <c r="AK191" s="223"/>
      <c r="AL191" s="224"/>
      <c r="AM191" s="223"/>
      <c r="AN191" s="223"/>
      <c r="AO191" s="223"/>
      <c r="AP191" s="224"/>
      <c r="AQ191" s="224"/>
      <c r="AR191" s="146"/>
      <c r="AS191" s="146"/>
      <c r="AT191" s="146"/>
      <c r="AU191" s="146"/>
      <c r="AV191" s="146"/>
      <c r="AW191" s="146"/>
      <c r="AX191" s="146"/>
      <c r="AY191" s="146"/>
      <c r="AZ191" s="146"/>
      <c r="BA191" s="146"/>
      <c r="BB191" s="146"/>
      <c r="BC191" s="146"/>
      <c r="BD191" s="146"/>
      <c r="BE191" s="146"/>
      <c r="BF191" s="146"/>
      <c r="BG191" s="146"/>
      <c r="BH191" s="146"/>
      <c r="BI191" s="146"/>
      <c r="BJ191" s="146"/>
      <c r="BK191" s="5"/>
      <c r="BL191" s="5"/>
      <c r="BM191" s="5"/>
      <c r="BN191" s="5"/>
      <c r="BO191" s="5"/>
      <c r="BP191" s="5"/>
      <c r="BQ191" s="5"/>
      <c r="BR191" s="5"/>
      <c r="BS191" s="5"/>
      <c r="BT191" s="5"/>
      <c r="BU191" s="5"/>
      <c r="BV191" s="5"/>
      <c r="BW191" s="5"/>
      <c r="BX191" s="5"/>
      <c r="BY191" s="5"/>
      <c r="BZ191" s="5"/>
      <c r="CA191" s="5"/>
      <c r="CB191" s="5"/>
      <c r="CC191" s="5"/>
      <c r="CD191" s="5"/>
      <c r="CE191" s="5"/>
      <c r="CF191" s="5"/>
      <c r="DD191" s="70" t="s">
        <v>189</v>
      </c>
      <c r="DE191" s="70"/>
      <c r="DF191" s="70"/>
      <c r="DG191" s="70"/>
      <c r="DH191" s="70"/>
      <c r="DI191" s="70"/>
      <c r="DJ191" s="70"/>
      <c r="DK191" s="70"/>
      <c r="DL191" s="70"/>
      <c r="DM191" s="70"/>
      <c r="DN191" s="70"/>
      <c r="DO191" s="70"/>
      <c r="DP191" s="70"/>
      <c r="DQ191" s="505" t="str">
        <f t="shared" si="50"/>
        <v>4201</v>
      </c>
      <c r="DR191" s="505"/>
      <c r="DS191" s="71">
        <v>2</v>
      </c>
      <c r="DT191" s="505">
        <v>8906</v>
      </c>
      <c r="DU191" s="505"/>
      <c r="DV191" s="71">
        <v>1</v>
      </c>
      <c r="DW191" s="71">
        <v>2</v>
      </c>
      <c r="DX191" s="505" t="str">
        <f t="shared" si="51"/>
        <v>4201</v>
      </c>
      <c r="DY191" s="505"/>
      <c r="DZ191" s="71">
        <f t="shared" si="52"/>
        <v>2</v>
      </c>
      <c r="EA191" s="72">
        <f t="shared" si="62"/>
        <v>1</v>
      </c>
      <c r="EB191" s="72">
        <f t="shared" si="63"/>
        <v>1</v>
      </c>
      <c r="EC191" s="72">
        <f t="shared" si="53"/>
        <v>0</v>
      </c>
      <c r="ED191" s="505">
        <f t="shared" si="54"/>
        <v>0</v>
      </c>
      <c r="EE191" s="505"/>
      <c r="EF191" s="71">
        <f t="shared" si="55"/>
        <v>0</v>
      </c>
      <c r="EG191" s="505">
        <f t="shared" si="56"/>
        <v>0</v>
      </c>
      <c r="EH191" s="505"/>
      <c r="EI191" s="71">
        <f t="shared" si="57"/>
        <v>0</v>
      </c>
      <c r="EJ191" s="71">
        <f t="shared" si="58"/>
        <v>0</v>
      </c>
      <c r="EK191" s="505">
        <f t="shared" si="59"/>
        <v>0</v>
      </c>
      <c r="EL191" s="505"/>
      <c r="EM191" s="71">
        <f t="shared" si="60"/>
        <v>0</v>
      </c>
      <c r="EN191" s="488">
        <f>IF(X13&lt;&gt;"",EC191*MONTH(X13-30),0)</f>
        <v>0</v>
      </c>
      <c r="EO191" s="488"/>
      <c r="EP191" s="487">
        <f>IF(X13&lt;&gt;"",EC191*YEAR(X13-30),0)</f>
        <v>0</v>
      </c>
      <c r="EQ191" s="487"/>
      <c r="ER191" s="385">
        <f t="shared" si="64"/>
        <v>0</v>
      </c>
      <c r="ES191" s="385"/>
      <c r="ET191" s="505">
        <f t="shared" si="61"/>
        <v>0</v>
      </c>
      <c r="EU191" s="505"/>
      <c r="EV191" s="82"/>
      <c r="EW191" s="82"/>
      <c r="EX191" s="82"/>
      <c r="EY191" s="82"/>
      <c r="EZ191" s="82"/>
      <c r="FA191" s="82"/>
      <c r="FB191" s="82"/>
      <c r="FC191" s="242"/>
      <c r="FD191" s="243"/>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row>
    <row r="192" spans="1:213" ht="12" hidden="1">
      <c r="A192" s="156">
        <f t="shared" si="49"/>
        <v>1</v>
      </c>
      <c r="B192" s="146"/>
      <c r="C192" s="223"/>
      <c r="D192" s="223"/>
      <c r="E192" s="146"/>
      <c r="F192" s="223"/>
      <c r="G192" s="223"/>
      <c r="H192" s="223"/>
      <c r="I192" s="146"/>
      <c r="J192" s="224"/>
      <c r="K192" s="223"/>
      <c r="L192" s="223"/>
      <c r="M192" s="223"/>
      <c r="N192" s="224"/>
      <c r="O192" s="223"/>
      <c r="P192" s="223"/>
      <c r="Q192" s="223"/>
      <c r="R192" s="224"/>
      <c r="S192" s="223"/>
      <c r="T192" s="223"/>
      <c r="U192" s="223"/>
      <c r="V192" s="224"/>
      <c r="W192" s="223"/>
      <c r="X192" s="223"/>
      <c r="Y192" s="223"/>
      <c r="Z192" s="224"/>
      <c r="AA192" s="223"/>
      <c r="AB192" s="223"/>
      <c r="AC192" s="223"/>
      <c r="AD192" s="224"/>
      <c r="AE192" s="223"/>
      <c r="AF192" s="223"/>
      <c r="AG192" s="223"/>
      <c r="AH192" s="224"/>
      <c r="AI192" s="223"/>
      <c r="AJ192" s="223"/>
      <c r="AK192" s="223"/>
      <c r="AL192" s="224"/>
      <c r="AM192" s="223"/>
      <c r="AN192" s="223"/>
      <c r="AO192" s="223"/>
      <c r="AP192" s="224"/>
      <c r="AQ192" s="224"/>
      <c r="AR192" s="146"/>
      <c r="AS192" s="146"/>
      <c r="AT192" s="146"/>
      <c r="AU192" s="146"/>
      <c r="AV192" s="146"/>
      <c r="AW192" s="146"/>
      <c r="AX192" s="146"/>
      <c r="AY192" s="146"/>
      <c r="AZ192" s="146"/>
      <c r="BA192" s="146"/>
      <c r="BB192" s="146"/>
      <c r="BC192" s="146"/>
      <c r="BD192" s="146"/>
      <c r="BE192" s="146"/>
      <c r="BF192" s="146"/>
      <c r="BG192" s="146"/>
      <c r="BH192" s="146"/>
      <c r="BI192" s="146"/>
      <c r="BJ192" s="146"/>
      <c r="BK192" s="5"/>
      <c r="BL192" s="5"/>
      <c r="BM192" s="5"/>
      <c r="BN192" s="5"/>
      <c r="BO192" s="5"/>
      <c r="BP192" s="5"/>
      <c r="BQ192" s="5"/>
      <c r="BR192" s="5"/>
      <c r="BS192" s="5"/>
      <c r="BT192" s="5"/>
      <c r="BU192" s="5"/>
      <c r="BV192" s="5"/>
      <c r="BW192" s="5"/>
      <c r="BX192" s="5"/>
      <c r="BY192" s="5"/>
      <c r="BZ192" s="5"/>
      <c r="CA192" s="5"/>
      <c r="CB192" s="5"/>
      <c r="CC192" s="5"/>
      <c r="CD192" s="5"/>
      <c r="CE192" s="5"/>
      <c r="CF192" s="5"/>
      <c r="DD192" s="70" t="s">
        <v>190</v>
      </c>
      <c r="DE192" s="70"/>
      <c r="DF192" s="70"/>
      <c r="DG192" s="70"/>
      <c r="DH192" s="70"/>
      <c r="DI192" s="70"/>
      <c r="DJ192" s="70"/>
      <c r="DK192" s="70"/>
      <c r="DL192" s="70"/>
      <c r="DM192" s="70"/>
      <c r="DN192" s="70"/>
      <c r="DO192" s="70"/>
      <c r="DP192" s="70"/>
      <c r="DQ192" s="505" t="str">
        <f t="shared" si="50"/>
        <v>4730</v>
      </c>
      <c r="DR192" s="505"/>
      <c r="DS192" s="71">
        <v>2</v>
      </c>
      <c r="DT192" s="505">
        <v>8906</v>
      </c>
      <c r="DU192" s="505"/>
      <c r="DV192" s="71">
        <v>1</v>
      </c>
      <c r="DW192" s="71">
        <v>2</v>
      </c>
      <c r="DX192" s="505" t="str">
        <f t="shared" si="51"/>
        <v>4730</v>
      </c>
      <c r="DY192" s="505"/>
      <c r="DZ192" s="71">
        <f t="shared" si="52"/>
        <v>2</v>
      </c>
      <c r="EA192" s="72">
        <f t="shared" si="62"/>
        <v>1</v>
      </c>
      <c r="EB192" s="72">
        <f t="shared" si="63"/>
        <v>1</v>
      </c>
      <c r="EC192" s="72">
        <f t="shared" si="53"/>
        <v>0</v>
      </c>
      <c r="ED192" s="505">
        <f t="shared" si="54"/>
        <v>0</v>
      </c>
      <c r="EE192" s="505"/>
      <c r="EF192" s="71">
        <f t="shared" si="55"/>
        <v>0</v>
      </c>
      <c r="EG192" s="505">
        <f t="shared" si="56"/>
        <v>0</v>
      </c>
      <c r="EH192" s="505"/>
      <c r="EI192" s="71">
        <f t="shared" si="57"/>
        <v>0</v>
      </c>
      <c r="EJ192" s="71">
        <f t="shared" si="58"/>
        <v>0</v>
      </c>
      <c r="EK192" s="505">
        <f t="shared" si="59"/>
        <v>0</v>
      </c>
      <c r="EL192" s="505"/>
      <c r="EM192" s="71">
        <f t="shared" si="60"/>
        <v>0</v>
      </c>
      <c r="EN192" s="488">
        <f>IF(X13&lt;&gt;"",EC192*MONTH(X13-30),0)</f>
        <v>0</v>
      </c>
      <c r="EO192" s="488"/>
      <c r="EP192" s="487">
        <f>IF(X13&lt;&gt;"",EC192*YEAR(X13-30),0)</f>
        <v>0</v>
      </c>
      <c r="EQ192" s="487"/>
      <c r="ER192" s="385">
        <f t="shared" si="64"/>
        <v>0</v>
      </c>
      <c r="ES192" s="385"/>
      <c r="ET192" s="505">
        <f t="shared" si="61"/>
        <v>0</v>
      </c>
      <c r="EU192" s="505"/>
      <c r="EV192" s="82"/>
      <c r="EW192" s="82"/>
      <c r="EX192" s="82"/>
      <c r="EY192" s="82"/>
      <c r="EZ192" s="82"/>
      <c r="FA192" s="82"/>
      <c r="FB192" s="82"/>
      <c r="FC192" s="242"/>
      <c r="FD192" s="243"/>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row>
    <row r="193" spans="1:213" ht="12" hidden="1">
      <c r="A193" s="156">
        <f t="shared" si="49"/>
        <v>1</v>
      </c>
      <c r="B193" s="146"/>
      <c r="C193" s="223"/>
      <c r="D193" s="223"/>
      <c r="E193" s="146"/>
      <c r="F193" s="223"/>
      <c r="G193" s="223"/>
      <c r="H193" s="223"/>
      <c r="I193" s="146"/>
      <c r="J193" s="224"/>
      <c r="K193" s="223"/>
      <c r="L193" s="223"/>
      <c r="M193" s="223"/>
      <c r="N193" s="224"/>
      <c r="O193" s="223"/>
      <c r="P193" s="223"/>
      <c r="Q193" s="223"/>
      <c r="R193" s="224"/>
      <c r="S193" s="223"/>
      <c r="T193" s="223"/>
      <c r="U193" s="223"/>
      <c r="V193" s="224"/>
      <c r="W193" s="223"/>
      <c r="X193" s="223"/>
      <c r="Y193" s="223"/>
      <c r="Z193" s="224"/>
      <c r="AA193" s="223"/>
      <c r="AB193" s="223"/>
      <c r="AC193" s="223"/>
      <c r="AD193" s="224"/>
      <c r="AE193" s="223"/>
      <c r="AF193" s="223"/>
      <c r="AG193" s="223"/>
      <c r="AH193" s="224"/>
      <c r="AI193" s="223"/>
      <c r="AJ193" s="223"/>
      <c r="AK193" s="223"/>
      <c r="AL193" s="224"/>
      <c r="AM193" s="223"/>
      <c r="AN193" s="223"/>
      <c r="AO193" s="223"/>
      <c r="AP193" s="224"/>
      <c r="AQ193" s="224"/>
      <c r="AR193" s="146"/>
      <c r="AS193" s="146"/>
      <c r="AT193" s="146"/>
      <c r="AU193" s="146"/>
      <c r="AV193" s="146"/>
      <c r="AW193" s="146"/>
      <c r="AX193" s="146"/>
      <c r="AY193" s="146"/>
      <c r="AZ193" s="146"/>
      <c r="BA193" s="146"/>
      <c r="BB193" s="146"/>
      <c r="BC193" s="146"/>
      <c r="BD193" s="146"/>
      <c r="BE193" s="146"/>
      <c r="BF193" s="146"/>
      <c r="BG193" s="146"/>
      <c r="BH193" s="146"/>
      <c r="BI193" s="146"/>
      <c r="BJ193" s="146"/>
      <c r="BK193" s="5"/>
      <c r="BL193" s="5"/>
      <c r="BM193" s="5"/>
      <c r="BN193" s="5"/>
      <c r="BO193" s="5"/>
      <c r="BP193" s="5"/>
      <c r="BQ193" s="5"/>
      <c r="BR193" s="5"/>
      <c r="BS193" s="5"/>
      <c r="BT193" s="5"/>
      <c r="BU193" s="5"/>
      <c r="BV193" s="5"/>
      <c r="BW193" s="5"/>
      <c r="BX193" s="5"/>
      <c r="BY193" s="5"/>
      <c r="BZ193" s="5"/>
      <c r="CA193" s="5"/>
      <c r="CB193" s="5"/>
      <c r="CC193" s="5"/>
      <c r="CD193" s="5"/>
      <c r="CE193" s="5"/>
      <c r="CF193" s="5"/>
      <c r="DD193" s="70" t="s">
        <v>191</v>
      </c>
      <c r="DE193" s="70"/>
      <c r="DF193" s="70"/>
      <c r="DG193" s="70"/>
      <c r="DH193" s="70"/>
      <c r="DI193" s="70"/>
      <c r="DJ193" s="70"/>
      <c r="DK193" s="70"/>
      <c r="DL193" s="70"/>
      <c r="DM193" s="70"/>
      <c r="DN193" s="70"/>
      <c r="DO193" s="70"/>
      <c r="DP193" s="70"/>
      <c r="DQ193" s="505" t="str">
        <f t="shared" si="50"/>
        <v>4731</v>
      </c>
      <c r="DR193" s="505"/>
      <c r="DS193" s="71">
        <v>2</v>
      </c>
      <c r="DT193" s="505">
        <v>8906</v>
      </c>
      <c r="DU193" s="505"/>
      <c r="DV193" s="71">
        <v>1</v>
      </c>
      <c r="DW193" s="71">
        <v>2</v>
      </c>
      <c r="DX193" s="505" t="str">
        <f t="shared" si="51"/>
        <v>4731</v>
      </c>
      <c r="DY193" s="505"/>
      <c r="DZ193" s="71">
        <f t="shared" si="52"/>
        <v>2</v>
      </c>
      <c r="EA193" s="72">
        <f t="shared" si="62"/>
        <v>1</v>
      </c>
      <c r="EB193" s="72">
        <f t="shared" si="63"/>
        <v>1</v>
      </c>
      <c r="EC193" s="72">
        <f t="shared" si="53"/>
        <v>0</v>
      </c>
      <c r="ED193" s="505">
        <f t="shared" si="54"/>
        <v>0</v>
      </c>
      <c r="EE193" s="505"/>
      <c r="EF193" s="71">
        <f t="shared" si="55"/>
        <v>0</v>
      </c>
      <c r="EG193" s="505">
        <f t="shared" si="56"/>
        <v>0</v>
      </c>
      <c r="EH193" s="505"/>
      <c r="EI193" s="71">
        <f t="shared" si="57"/>
        <v>0</v>
      </c>
      <c r="EJ193" s="71">
        <f t="shared" si="58"/>
        <v>0</v>
      </c>
      <c r="EK193" s="505">
        <f t="shared" si="59"/>
        <v>0</v>
      </c>
      <c r="EL193" s="505"/>
      <c r="EM193" s="71">
        <f t="shared" si="60"/>
        <v>0</v>
      </c>
      <c r="EN193" s="488">
        <f>IF(X13&lt;&gt;"",EC193*MONTH(X13-30),0)</f>
        <v>0</v>
      </c>
      <c r="EO193" s="488"/>
      <c r="EP193" s="487">
        <f>IF(X13&lt;&gt;"",EC193*(YEAR(X13-30)-1),0)</f>
        <v>0</v>
      </c>
      <c r="EQ193" s="487"/>
      <c r="ER193" s="385">
        <f t="shared" si="64"/>
        <v>0</v>
      </c>
      <c r="ES193" s="385"/>
      <c r="ET193" s="505">
        <f t="shared" si="61"/>
        <v>0</v>
      </c>
      <c r="EU193" s="505"/>
      <c r="EV193" s="82"/>
      <c r="EW193" s="82"/>
      <c r="EX193" s="82"/>
      <c r="EY193" s="82"/>
      <c r="EZ193" s="82"/>
      <c r="FA193" s="82"/>
      <c r="FB193" s="82"/>
      <c r="FC193" s="242"/>
      <c r="FD193" s="243"/>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row>
    <row r="194" spans="1:213" ht="12" hidden="1">
      <c r="A194" s="156">
        <f t="shared" si="49"/>
        <v>1</v>
      </c>
      <c r="B194" s="146"/>
      <c r="C194" s="223"/>
      <c r="D194" s="223"/>
      <c r="E194" s="146"/>
      <c r="F194" s="223"/>
      <c r="G194" s="223"/>
      <c r="H194" s="223"/>
      <c r="I194" s="146"/>
      <c r="J194" s="224"/>
      <c r="K194" s="223"/>
      <c r="L194" s="223"/>
      <c r="M194" s="223"/>
      <c r="N194" s="224"/>
      <c r="O194" s="223"/>
      <c r="P194" s="223"/>
      <c r="Q194" s="223"/>
      <c r="R194" s="224"/>
      <c r="S194" s="223"/>
      <c r="T194" s="223"/>
      <c r="U194" s="223"/>
      <c r="V194" s="224"/>
      <c r="W194" s="223"/>
      <c r="X194" s="223"/>
      <c r="Y194" s="223"/>
      <c r="Z194" s="224"/>
      <c r="AA194" s="223"/>
      <c r="AB194" s="223"/>
      <c r="AC194" s="223"/>
      <c r="AD194" s="224"/>
      <c r="AE194" s="223"/>
      <c r="AF194" s="223"/>
      <c r="AG194" s="223"/>
      <c r="AH194" s="224"/>
      <c r="AI194" s="223"/>
      <c r="AJ194" s="223"/>
      <c r="AK194" s="223"/>
      <c r="AL194" s="224"/>
      <c r="AM194" s="223"/>
      <c r="AN194" s="223"/>
      <c r="AO194" s="223"/>
      <c r="AP194" s="224"/>
      <c r="AQ194" s="224"/>
      <c r="AR194" s="146"/>
      <c r="AS194" s="146"/>
      <c r="AT194" s="146"/>
      <c r="AU194" s="146"/>
      <c r="AV194" s="146"/>
      <c r="AW194" s="146"/>
      <c r="AX194" s="146"/>
      <c r="AY194" s="146"/>
      <c r="AZ194" s="146"/>
      <c r="BA194" s="146"/>
      <c r="BB194" s="146"/>
      <c r="BC194" s="146"/>
      <c r="BD194" s="146"/>
      <c r="BE194" s="146"/>
      <c r="BF194" s="146"/>
      <c r="BG194" s="146"/>
      <c r="BH194" s="146"/>
      <c r="BI194" s="146"/>
      <c r="BJ194" s="146"/>
      <c r="BK194" s="5"/>
      <c r="BL194" s="5"/>
      <c r="BM194" s="5"/>
      <c r="BN194" s="5"/>
      <c r="BO194" s="5"/>
      <c r="BP194" s="5"/>
      <c r="BQ194" s="5"/>
      <c r="BR194" s="5"/>
      <c r="BS194" s="5"/>
      <c r="BT194" s="5"/>
      <c r="BU194" s="5"/>
      <c r="BV194" s="5"/>
      <c r="BW194" s="5"/>
      <c r="BX194" s="5"/>
      <c r="BY194" s="5"/>
      <c r="BZ194" s="5"/>
      <c r="CA194" s="5"/>
      <c r="CB194" s="5"/>
      <c r="CC194" s="5"/>
      <c r="CD194" s="5"/>
      <c r="CE194" s="5"/>
      <c r="CF194" s="5"/>
      <c r="DD194" s="70" t="s">
        <v>192</v>
      </c>
      <c r="DE194" s="70"/>
      <c r="DF194" s="70"/>
      <c r="DG194" s="70"/>
      <c r="DH194" s="70"/>
      <c r="DI194" s="70"/>
      <c r="DJ194" s="70"/>
      <c r="DK194" s="70"/>
      <c r="DL194" s="70"/>
      <c r="DM194" s="70"/>
      <c r="DN194" s="70"/>
      <c r="DO194" s="70"/>
      <c r="DP194" s="70"/>
      <c r="DQ194" s="505" t="str">
        <f t="shared" si="50"/>
        <v>3802</v>
      </c>
      <c r="DR194" s="505"/>
      <c r="DS194" s="71" t="s">
        <v>193</v>
      </c>
      <c r="DT194" s="505">
        <v>8906</v>
      </c>
      <c r="DU194" s="505"/>
      <c r="DV194" s="71">
        <v>1</v>
      </c>
      <c r="DW194" s="71">
        <v>2</v>
      </c>
      <c r="DX194" s="505" t="str">
        <f t="shared" si="51"/>
        <v>3802</v>
      </c>
      <c r="DY194" s="505"/>
      <c r="DZ194" s="71" t="str">
        <f t="shared" si="52"/>
        <v>4</v>
      </c>
      <c r="EA194" s="72">
        <f t="shared" si="62"/>
        <v>1</v>
      </c>
      <c r="EB194" s="72">
        <f t="shared" si="63"/>
        <v>1</v>
      </c>
      <c r="EC194" s="72">
        <f t="shared" si="53"/>
        <v>0</v>
      </c>
      <c r="ED194" s="505">
        <f t="shared" si="54"/>
        <v>0</v>
      </c>
      <c r="EE194" s="505"/>
      <c r="EF194" s="71">
        <f t="shared" si="55"/>
        <v>0</v>
      </c>
      <c r="EG194" s="505">
        <f t="shared" si="56"/>
        <v>0</v>
      </c>
      <c r="EH194" s="505"/>
      <c r="EI194" s="71">
        <f t="shared" si="57"/>
        <v>0</v>
      </c>
      <c r="EJ194" s="71">
        <f t="shared" si="58"/>
        <v>0</v>
      </c>
      <c r="EK194" s="505">
        <f t="shared" si="59"/>
        <v>0</v>
      </c>
      <c r="EL194" s="505"/>
      <c r="EM194" s="71">
        <f t="shared" si="60"/>
        <v>0</v>
      </c>
      <c r="EN194" s="488">
        <f>IF(X13&lt;&gt;"",EC194*MONTH(X13-30),0)</f>
        <v>0</v>
      </c>
      <c r="EO194" s="488"/>
      <c r="EP194" s="487">
        <f>IF(X13&lt;&gt;"",EC194*(YEAR(X13-30)-1),0)</f>
        <v>0</v>
      </c>
      <c r="EQ194" s="487"/>
      <c r="ER194" s="385">
        <f t="shared" si="64"/>
        <v>0</v>
      </c>
      <c r="ES194" s="385"/>
      <c r="ET194" s="505">
        <f t="shared" si="61"/>
        <v>0</v>
      </c>
      <c r="EU194" s="505"/>
      <c r="EV194" s="82"/>
      <c r="EW194" s="82"/>
      <c r="EX194" s="82"/>
      <c r="EY194" s="82"/>
      <c r="EZ194" s="82"/>
      <c r="FA194" s="82"/>
      <c r="FB194" s="82"/>
      <c r="FC194" s="242"/>
      <c r="FD194" s="243"/>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row>
    <row r="195" spans="1:193" ht="12" hidden="1">
      <c r="A195" s="156">
        <f t="shared" si="49"/>
        <v>1</v>
      </c>
      <c r="B195" s="146"/>
      <c r="C195" s="223"/>
      <c r="D195" s="223"/>
      <c r="E195" s="146"/>
      <c r="F195" s="223"/>
      <c r="G195" s="223"/>
      <c r="H195" s="223"/>
      <c r="I195" s="146"/>
      <c r="J195" s="224"/>
      <c r="K195" s="223"/>
      <c r="L195" s="223"/>
      <c r="M195" s="223"/>
      <c r="N195" s="224"/>
      <c r="O195" s="223"/>
      <c r="P195" s="223"/>
      <c r="Q195" s="223"/>
      <c r="R195" s="224"/>
      <c r="S195" s="223"/>
      <c r="T195" s="223"/>
      <c r="U195" s="223"/>
      <c r="V195" s="224"/>
      <c r="W195" s="223"/>
      <c r="X195" s="223"/>
      <c r="Y195" s="223"/>
      <c r="Z195" s="224"/>
      <c r="AA195" s="223"/>
      <c r="AB195" s="223"/>
      <c r="AC195" s="223"/>
      <c r="AD195" s="224"/>
      <c r="AE195" s="223"/>
      <c r="AF195" s="223"/>
      <c r="AG195" s="223"/>
      <c r="AH195" s="224"/>
      <c r="AI195" s="223"/>
      <c r="AJ195" s="223"/>
      <c r="AK195" s="223"/>
      <c r="AL195" s="224"/>
      <c r="AM195" s="223"/>
      <c r="AN195" s="223"/>
      <c r="AO195" s="223"/>
      <c r="AP195" s="224"/>
      <c r="AQ195" s="224"/>
      <c r="AR195" s="146"/>
      <c r="AS195" s="146"/>
      <c r="AT195" s="146"/>
      <c r="AU195" s="146"/>
      <c r="AV195" s="146"/>
      <c r="AW195" s="146"/>
      <c r="AX195" s="146"/>
      <c r="AY195" s="146"/>
      <c r="AZ195" s="146"/>
      <c r="BA195" s="146"/>
      <c r="BB195" s="146"/>
      <c r="BC195" s="146"/>
      <c r="BD195" s="146"/>
      <c r="BE195" s="146"/>
      <c r="BF195" s="146"/>
      <c r="BG195" s="146"/>
      <c r="BH195" s="146"/>
      <c r="BI195" s="146"/>
      <c r="BJ195" s="146"/>
      <c r="BK195" s="5"/>
      <c r="BL195" s="5"/>
      <c r="BM195" s="5"/>
      <c r="BN195" s="5"/>
      <c r="BO195" s="5"/>
      <c r="BP195" s="5"/>
      <c r="BQ195" s="5"/>
      <c r="BR195" s="5"/>
      <c r="BS195" s="5"/>
      <c r="BT195" s="5"/>
      <c r="BU195" s="5"/>
      <c r="BV195" s="5"/>
      <c r="BW195" s="5"/>
      <c r="BX195" s="5"/>
      <c r="BY195" s="5"/>
      <c r="BZ195" s="5"/>
      <c r="CA195" s="5"/>
      <c r="CB195" s="5"/>
      <c r="CC195" s="5"/>
      <c r="CD195" s="5"/>
      <c r="CE195" s="5"/>
      <c r="CF195" s="5"/>
      <c r="DD195" s="70" t="s">
        <v>194</v>
      </c>
      <c r="DE195" s="70"/>
      <c r="DF195" s="70"/>
      <c r="DG195" s="70"/>
      <c r="DH195" s="70"/>
      <c r="DI195" s="70"/>
      <c r="DJ195" s="70"/>
      <c r="DK195" s="70"/>
      <c r="DL195" s="70"/>
      <c r="DM195" s="70"/>
      <c r="DN195" s="70"/>
      <c r="DO195" s="70"/>
      <c r="DP195" s="70"/>
      <c r="DQ195" s="505" t="str">
        <f t="shared" si="50"/>
        <v>3803</v>
      </c>
      <c r="DR195" s="505"/>
      <c r="DS195" s="71">
        <v>4</v>
      </c>
      <c r="DT195" s="505">
        <v>8906</v>
      </c>
      <c r="DU195" s="505"/>
      <c r="DV195" s="71">
        <v>1</v>
      </c>
      <c r="DW195" s="71">
        <v>2</v>
      </c>
      <c r="DX195" s="505" t="str">
        <f t="shared" si="51"/>
        <v>3803</v>
      </c>
      <c r="DY195" s="505"/>
      <c r="DZ195" s="71">
        <f t="shared" si="52"/>
        <v>4</v>
      </c>
      <c r="EA195" s="72">
        <f t="shared" si="62"/>
        <v>1</v>
      </c>
      <c r="EB195" s="72">
        <f t="shared" si="63"/>
        <v>1</v>
      </c>
      <c r="EC195" s="72">
        <f t="shared" si="53"/>
        <v>0</v>
      </c>
      <c r="ED195" s="505">
        <f t="shared" si="54"/>
        <v>0</v>
      </c>
      <c r="EE195" s="505"/>
      <c r="EF195" s="71">
        <f t="shared" si="55"/>
        <v>0</v>
      </c>
      <c r="EG195" s="505">
        <f t="shared" si="56"/>
        <v>0</v>
      </c>
      <c r="EH195" s="505"/>
      <c r="EI195" s="71">
        <f t="shared" si="57"/>
        <v>0</v>
      </c>
      <c r="EJ195" s="71">
        <f t="shared" si="58"/>
        <v>0</v>
      </c>
      <c r="EK195" s="505">
        <f t="shared" si="59"/>
        <v>0</v>
      </c>
      <c r="EL195" s="505"/>
      <c r="EM195" s="71">
        <f t="shared" si="60"/>
        <v>0</v>
      </c>
      <c r="EN195" s="488">
        <f>IF(X13&lt;&gt;"",EC195*MONTH(X13-30),0)</f>
        <v>0</v>
      </c>
      <c r="EO195" s="488"/>
      <c r="EP195" s="487">
        <f>IF(X13&lt;&gt;"",EC195*(YEAR(X13-30)-1),0)</f>
        <v>0</v>
      </c>
      <c r="EQ195" s="487"/>
      <c r="ER195" s="385">
        <f t="shared" si="64"/>
        <v>0</v>
      </c>
      <c r="ES195" s="385"/>
      <c r="ET195" s="505">
        <f t="shared" si="61"/>
        <v>0</v>
      </c>
      <c r="EU195" s="505"/>
      <c r="EV195" s="82"/>
      <c r="EW195" s="82"/>
      <c r="EX195" s="82"/>
      <c r="EY195" s="82"/>
      <c r="EZ195" s="82"/>
      <c r="FA195" s="82"/>
      <c r="FB195" s="82"/>
      <c r="FC195" s="242"/>
      <c r="FD195" s="243"/>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row>
    <row r="196" spans="1:193" ht="12" hidden="1">
      <c r="A196" s="156">
        <f t="shared" si="49"/>
        <v>1</v>
      </c>
      <c r="B196" s="146"/>
      <c r="C196" s="223"/>
      <c r="D196" s="223"/>
      <c r="E196" s="146"/>
      <c r="F196" s="223"/>
      <c r="G196" s="223"/>
      <c r="H196" s="223"/>
      <c r="I196" s="146"/>
      <c r="J196" s="224"/>
      <c r="K196" s="223"/>
      <c r="L196" s="223"/>
      <c r="M196" s="223"/>
      <c r="N196" s="224"/>
      <c r="O196" s="223"/>
      <c r="P196" s="223"/>
      <c r="Q196" s="223"/>
      <c r="R196" s="224"/>
      <c r="S196" s="223"/>
      <c r="T196" s="223"/>
      <c r="U196" s="223"/>
      <c r="V196" s="224"/>
      <c r="W196" s="223"/>
      <c r="X196" s="223"/>
      <c r="Y196" s="223"/>
      <c r="Z196" s="224"/>
      <c r="AA196" s="223"/>
      <c r="AB196" s="223"/>
      <c r="AC196" s="223"/>
      <c r="AD196" s="224"/>
      <c r="AE196" s="223"/>
      <c r="AF196" s="223"/>
      <c r="AG196" s="223"/>
      <c r="AH196" s="224"/>
      <c r="AI196" s="223"/>
      <c r="AJ196" s="223"/>
      <c r="AK196" s="223"/>
      <c r="AL196" s="224"/>
      <c r="AM196" s="223"/>
      <c r="AN196" s="223"/>
      <c r="AO196" s="223"/>
      <c r="AP196" s="224"/>
      <c r="AQ196" s="224"/>
      <c r="AR196" s="146"/>
      <c r="AS196" s="146"/>
      <c r="AT196" s="146"/>
      <c r="AU196" s="146"/>
      <c r="AV196" s="146"/>
      <c r="AW196" s="146"/>
      <c r="AX196" s="146"/>
      <c r="AY196" s="146"/>
      <c r="AZ196" s="146"/>
      <c r="BA196" s="146"/>
      <c r="BB196" s="146"/>
      <c r="BC196" s="146"/>
      <c r="BD196" s="146"/>
      <c r="BE196" s="146"/>
      <c r="BF196" s="146"/>
      <c r="BG196" s="146"/>
      <c r="BH196" s="146"/>
      <c r="BI196" s="146"/>
      <c r="BJ196" s="146"/>
      <c r="BK196" s="5"/>
      <c r="BL196" s="5"/>
      <c r="BM196" s="5"/>
      <c r="BN196" s="5"/>
      <c r="BO196" s="5"/>
      <c r="BP196" s="5"/>
      <c r="BQ196" s="5"/>
      <c r="BR196" s="5"/>
      <c r="BS196" s="5"/>
      <c r="BT196" s="5"/>
      <c r="BU196" s="5"/>
      <c r="BV196" s="5"/>
      <c r="BW196" s="5"/>
      <c r="BX196" s="5"/>
      <c r="DD196" s="70" t="s">
        <v>195</v>
      </c>
      <c r="DE196" s="70"/>
      <c r="DF196" s="70"/>
      <c r="DG196" s="70"/>
      <c r="DH196" s="70"/>
      <c r="DI196" s="70"/>
      <c r="DJ196" s="70"/>
      <c r="DK196" s="70"/>
      <c r="DL196" s="70"/>
      <c r="DM196" s="70"/>
      <c r="DN196" s="70"/>
      <c r="DO196" s="70"/>
      <c r="DP196" s="70"/>
      <c r="DQ196" s="505" t="str">
        <f t="shared" si="50"/>
        <v>3845</v>
      </c>
      <c r="DR196" s="505"/>
      <c r="DS196" s="71">
        <v>5</v>
      </c>
      <c r="DT196" s="505">
        <v>8906</v>
      </c>
      <c r="DU196" s="505"/>
      <c r="DV196" s="71">
        <v>1</v>
      </c>
      <c r="DW196" s="71">
        <v>2</v>
      </c>
      <c r="DX196" s="505" t="str">
        <f t="shared" si="51"/>
        <v>3845</v>
      </c>
      <c r="DY196" s="505"/>
      <c r="DZ196" s="71">
        <f t="shared" si="52"/>
        <v>5</v>
      </c>
      <c r="EA196" s="72">
        <f t="shared" si="62"/>
        <v>1</v>
      </c>
      <c r="EB196" s="72">
        <f t="shared" si="63"/>
        <v>1</v>
      </c>
      <c r="EC196" s="72">
        <f t="shared" si="53"/>
        <v>0</v>
      </c>
      <c r="ED196" s="505">
        <f t="shared" si="54"/>
        <v>0</v>
      </c>
      <c r="EE196" s="505"/>
      <c r="EF196" s="71">
        <f t="shared" si="55"/>
        <v>0</v>
      </c>
      <c r="EG196" s="505">
        <f t="shared" si="56"/>
        <v>0</v>
      </c>
      <c r="EH196" s="505"/>
      <c r="EI196" s="71">
        <f t="shared" si="57"/>
        <v>0</v>
      </c>
      <c r="EJ196" s="71">
        <f t="shared" si="58"/>
        <v>0</v>
      </c>
      <c r="EK196" s="505">
        <f t="shared" si="59"/>
        <v>0</v>
      </c>
      <c r="EL196" s="505"/>
      <c r="EM196" s="71">
        <f t="shared" si="60"/>
        <v>0</v>
      </c>
      <c r="EN196" s="488">
        <f>IF(X13&lt;&gt;"",EC196*MONTH(X13-30),0)</f>
        <v>0</v>
      </c>
      <c r="EO196" s="488"/>
      <c r="EP196" s="487">
        <f>IF(X13&lt;&gt;"",EC196*YEAR(X13-30),0)</f>
        <v>0</v>
      </c>
      <c r="EQ196" s="487"/>
      <c r="ER196" s="385">
        <f t="shared" si="64"/>
        <v>0</v>
      </c>
      <c r="ES196" s="385"/>
      <c r="ET196" s="505">
        <f t="shared" si="61"/>
        <v>0</v>
      </c>
      <c r="EU196" s="505"/>
      <c r="EV196" s="82"/>
      <c r="EW196" s="82"/>
      <c r="EX196" s="82"/>
      <c r="EY196" s="82"/>
      <c r="EZ196" s="82"/>
      <c r="FA196" s="82"/>
      <c r="FB196" s="82"/>
      <c r="FC196" s="242"/>
      <c r="FD196" s="243"/>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row>
    <row r="197" spans="1:193" ht="12" hidden="1">
      <c r="A197" s="156">
        <f t="shared" si="49"/>
        <v>1</v>
      </c>
      <c r="B197" s="146"/>
      <c r="C197" s="223"/>
      <c r="D197" s="223"/>
      <c r="E197" s="146"/>
      <c r="F197" s="223"/>
      <c r="G197" s="223"/>
      <c r="H197" s="223"/>
      <c r="I197" s="146"/>
      <c r="J197" s="224"/>
      <c r="K197" s="223"/>
      <c r="L197" s="223"/>
      <c r="M197" s="223"/>
      <c r="N197" s="224"/>
      <c r="O197" s="223"/>
      <c r="P197" s="223"/>
      <c r="Q197" s="223"/>
      <c r="R197" s="224"/>
      <c r="S197" s="223"/>
      <c r="T197" s="223"/>
      <c r="U197" s="223"/>
      <c r="V197" s="224"/>
      <c r="W197" s="223"/>
      <c r="X197" s="223"/>
      <c r="Y197" s="223"/>
      <c r="Z197" s="224"/>
      <c r="AA197" s="223"/>
      <c r="AB197" s="223"/>
      <c r="AC197" s="223"/>
      <c r="AD197" s="224"/>
      <c r="AE197" s="223"/>
      <c r="AF197" s="223"/>
      <c r="AG197" s="223"/>
      <c r="AH197" s="224"/>
      <c r="AI197" s="223"/>
      <c r="AJ197" s="223"/>
      <c r="AK197" s="223"/>
      <c r="AL197" s="224"/>
      <c r="AM197" s="223"/>
      <c r="AN197" s="223"/>
      <c r="AO197" s="223"/>
      <c r="AP197" s="224"/>
      <c r="AQ197" s="224"/>
      <c r="AR197" s="231"/>
      <c r="AS197" s="231"/>
      <c r="AT197" s="231"/>
      <c r="AU197" s="231"/>
      <c r="AV197" s="231"/>
      <c r="AW197" s="231"/>
      <c r="AX197" s="231"/>
      <c r="AY197" s="231"/>
      <c r="AZ197" s="231"/>
      <c r="BA197" s="231"/>
      <c r="BB197" s="231"/>
      <c r="BC197" s="231"/>
      <c r="BD197" s="231"/>
      <c r="BE197" s="231"/>
      <c r="BF197" s="231"/>
      <c r="BG197" s="231"/>
      <c r="BH197" s="231"/>
      <c r="BI197" s="231"/>
      <c r="BJ197" s="231"/>
      <c r="DD197" s="70" t="s">
        <v>196</v>
      </c>
      <c r="DE197" s="70"/>
      <c r="DF197" s="70"/>
      <c r="DG197" s="70"/>
      <c r="DH197" s="70"/>
      <c r="DI197" s="70"/>
      <c r="DJ197" s="70"/>
      <c r="DK197" s="70"/>
      <c r="DL197" s="70"/>
      <c r="DM197" s="70"/>
      <c r="DN197" s="70"/>
      <c r="DO197" s="70"/>
      <c r="DP197" s="70"/>
      <c r="DQ197" s="505" t="str">
        <f t="shared" si="50"/>
        <v>3846</v>
      </c>
      <c r="DR197" s="505"/>
      <c r="DS197" s="71">
        <v>5</v>
      </c>
      <c r="DT197" s="505">
        <v>8906</v>
      </c>
      <c r="DU197" s="505"/>
      <c r="DV197" s="71">
        <v>1</v>
      </c>
      <c r="DW197" s="71">
        <v>2</v>
      </c>
      <c r="DX197" s="505" t="str">
        <f t="shared" si="51"/>
        <v>3846</v>
      </c>
      <c r="DY197" s="505"/>
      <c r="DZ197" s="71">
        <f t="shared" si="52"/>
        <v>5</v>
      </c>
      <c r="EA197" s="72">
        <f t="shared" si="62"/>
        <v>1</v>
      </c>
      <c r="EB197" s="72">
        <f t="shared" si="63"/>
        <v>1</v>
      </c>
      <c r="EC197" s="72">
        <f t="shared" si="53"/>
        <v>0</v>
      </c>
      <c r="ED197" s="505">
        <f t="shared" si="54"/>
        <v>0</v>
      </c>
      <c r="EE197" s="505"/>
      <c r="EF197" s="71">
        <f t="shared" si="55"/>
        <v>0</v>
      </c>
      <c r="EG197" s="505">
        <f t="shared" si="56"/>
        <v>0</v>
      </c>
      <c r="EH197" s="505"/>
      <c r="EI197" s="71">
        <f t="shared" si="57"/>
        <v>0</v>
      </c>
      <c r="EJ197" s="71">
        <f t="shared" si="58"/>
        <v>0</v>
      </c>
      <c r="EK197" s="505">
        <f t="shared" si="59"/>
        <v>0</v>
      </c>
      <c r="EL197" s="505"/>
      <c r="EM197" s="71">
        <f t="shared" si="60"/>
        <v>0</v>
      </c>
      <c r="EN197" s="488">
        <f>IF(X13&lt;&gt;"",EC197*MONTH(X13-30),0)</f>
        <v>0</v>
      </c>
      <c r="EO197" s="488"/>
      <c r="EP197" s="487">
        <f>IF(X13&lt;&gt;"",EC197*(YEAR(X13-30)-1),0)</f>
        <v>0</v>
      </c>
      <c r="EQ197" s="487"/>
      <c r="ER197" s="385">
        <f t="shared" si="64"/>
        <v>0</v>
      </c>
      <c r="ES197" s="385"/>
      <c r="ET197" s="505">
        <f t="shared" si="61"/>
        <v>0</v>
      </c>
      <c r="EU197" s="505"/>
      <c r="EV197" s="82"/>
      <c r="EW197" s="82"/>
      <c r="EX197" s="82"/>
      <c r="EY197" s="82"/>
      <c r="EZ197" s="82"/>
      <c r="FA197" s="82"/>
      <c r="FB197" s="82"/>
      <c r="FC197" s="242"/>
      <c r="FD197" s="243"/>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row>
    <row r="198" spans="1:193" ht="12" hidden="1">
      <c r="A198" s="156">
        <f t="shared" si="49"/>
        <v>1</v>
      </c>
      <c r="B198" s="146"/>
      <c r="C198" s="223"/>
      <c r="D198" s="223"/>
      <c r="E198" s="146"/>
      <c r="F198" s="223"/>
      <c r="G198" s="223"/>
      <c r="H198" s="223"/>
      <c r="I198" s="146"/>
      <c r="J198" s="224"/>
      <c r="K198" s="223"/>
      <c r="L198" s="223"/>
      <c r="M198" s="223"/>
      <c r="N198" s="224"/>
      <c r="O198" s="223"/>
      <c r="P198" s="223"/>
      <c r="Q198" s="223"/>
      <c r="R198" s="224"/>
      <c r="S198" s="223"/>
      <c r="T198" s="223"/>
      <c r="U198" s="223"/>
      <c r="V198" s="224"/>
      <c r="W198" s="223"/>
      <c r="X198" s="223"/>
      <c r="Y198" s="223"/>
      <c r="Z198" s="224"/>
      <c r="AA198" s="223"/>
      <c r="AB198" s="223"/>
      <c r="AC198" s="223"/>
      <c r="AD198" s="224"/>
      <c r="AE198" s="223"/>
      <c r="AF198" s="223"/>
      <c r="AG198" s="223"/>
      <c r="AH198" s="224"/>
      <c r="AI198" s="223"/>
      <c r="AJ198" s="223"/>
      <c r="AK198" s="223"/>
      <c r="AL198" s="224"/>
      <c r="AM198" s="223"/>
      <c r="AN198" s="223"/>
      <c r="AO198" s="223"/>
      <c r="AP198" s="224"/>
      <c r="AQ198" s="224"/>
      <c r="AR198" s="231"/>
      <c r="AS198" s="231"/>
      <c r="AT198" s="231"/>
      <c r="AU198" s="231"/>
      <c r="AV198" s="231"/>
      <c r="AW198" s="231"/>
      <c r="AX198" s="231"/>
      <c r="AY198" s="231"/>
      <c r="AZ198" s="231"/>
      <c r="BA198" s="231"/>
      <c r="BB198" s="231"/>
      <c r="BC198" s="231"/>
      <c r="BD198" s="231"/>
      <c r="BE198" s="231"/>
      <c r="BF198" s="231"/>
      <c r="BG198" s="231"/>
      <c r="BH198" s="231"/>
      <c r="BI198" s="231"/>
      <c r="BJ198" s="231"/>
      <c r="DD198" s="70" t="s">
        <v>197</v>
      </c>
      <c r="DE198" s="70"/>
      <c r="DF198" s="70"/>
      <c r="DG198" s="70"/>
      <c r="DH198" s="70"/>
      <c r="DI198" s="70"/>
      <c r="DJ198" s="70"/>
      <c r="DK198" s="70"/>
      <c r="DL198" s="70"/>
      <c r="DM198" s="70"/>
      <c r="DN198" s="70"/>
      <c r="DO198" s="70"/>
      <c r="DP198" s="70"/>
      <c r="DQ198" s="505" t="str">
        <f t="shared" si="50"/>
        <v>3847</v>
      </c>
      <c r="DR198" s="505"/>
      <c r="DS198" s="71">
        <v>5</v>
      </c>
      <c r="DT198" s="505">
        <v>8906</v>
      </c>
      <c r="DU198" s="505"/>
      <c r="DV198" s="71">
        <v>1</v>
      </c>
      <c r="DW198" s="71">
        <v>2</v>
      </c>
      <c r="DX198" s="505" t="str">
        <f t="shared" si="51"/>
        <v>3847</v>
      </c>
      <c r="DY198" s="505"/>
      <c r="DZ198" s="71">
        <f t="shared" si="52"/>
        <v>5</v>
      </c>
      <c r="EA198" s="72">
        <f t="shared" si="62"/>
        <v>1</v>
      </c>
      <c r="EB198" s="72">
        <f t="shared" si="63"/>
        <v>1</v>
      </c>
      <c r="EC198" s="72">
        <f t="shared" si="53"/>
        <v>0</v>
      </c>
      <c r="ED198" s="505">
        <f t="shared" si="54"/>
        <v>0</v>
      </c>
      <c r="EE198" s="505"/>
      <c r="EF198" s="71">
        <f t="shared" si="55"/>
        <v>0</v>
      </c>
      <c r="EG198" s="505">
        <f t="shared" si="56"/>
        <v>0</v>
      </c>
      <c r="EH198" s="505"/>
      <c r="EI198" s="71">
        <f t="shared" si="57"/>
        <v>0</v>
      </c>
      <c r="EJ198" s="71">
        <f t="shared" si="58"/>
        <v>0</v>
      </c>
      <c r="EK198" s="505">
        <f t="shared" si="59"/>
        <v>0</v>
      </c>
      <c r="EL198" s="505"/>
      <c r="EM198" s="71">
        <f t="shared" si="60"/>
        <v>0</v>
      </c>
      <c r="EN198" s="488">
        <f>IF(X13&lt;&gt;"",EC198*MONTH(X13-30),0)</f>
        <v>0</v>
      </c>
      <c r="EO198" s="488"/>
      <c r="EP198" s="487">
        <f>IF(X13&lt;&gt;"",EC198*YEAR(X13-30),0)</f>
        <v>0</v>
      </c>
      <c r="EQ198" s="487"/>
      <c r="ER198" s="385">
        <f t="shared" si="64"/>
        <v>0</v>
      </c>
      <c r="ES198" s="385"/>
      <c r="ET198" s="505">
        <f t="shared" si="61"/>
        <v>0</v>
      </c>
      <c r="EU198" s="505"/>
      <c r="EV198" s="82"/>
      <c r="EW198" s="82"/>
      <c r="EX198" s="82"/>
      <c r="EY198" s="82"/>
      <c r="EZ198" s="82"/>
      <c r="FA198" s="82"/>
      <c r="FB198" s="82"/>
      <c r="FC198" s="242"/>
      <c r="FD198" s="243"/>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row>
    <row r="199" spans="1:193" ht="12" hidden="1">
      <c r="A199" s="156">
        <f t="shared" si="49"/>
        <v>1</v>
      </c>
      <c r="B199" s="146"/>
      <c r="C199" s="223"/>
      <c r="D199" s="223"/>
      <c r="E199" s="146"/>
      <c r="F199" s="223"/>
      <c r="G199" s="223"/>
      <c r="H199" s="223"/>
      <c r="I199" s="146"/>
      <c r="J199" s="224"/>
      <c r="K199" s="223"/>
      <c r="L199" s="223"/>
      <c r="M199" s="223"/>
      <c r="N199" s="224"/>
      <c r="O199" s="223"/>
      <c r="P199" s="223"/>
      <c r="Q199" s="223"/>
      <c r="R199" s="224"/>
      <c r="S199" s="223"/>
      <c r="T199" s="223"/>
      <c r="U199" s="223"/>
      <c r="V199" s="224"/>
      <c r="W199" s="223"/>
      <c r="X199" s="223"/>
      <c r="Y199" s="223"/>
      <c r="Z199" s="224"/>
      <c r="AA199" s="223"/>
      <c r="AB199" s="223"/>
      <c r="AC199" s="223"/>
      <c r="AD199" s="224"/>
      <c r="AE199" s="223"/>
      <c r="AF199" s="223"/>
      <c r="AG199" s="223"/>
      <c r="AH199" s="224"/>
      <c r="AI199" s="223"/>
      <c r="AJ199" s="223"/>
      <c r="AK199" s="223"/>
      <c r="AL199" s="224"/>
      <c r="AM199" s="223"/>
      <c r="AN199" s="223"/>
      <c r="AO199" s="223"/>
      <c r="AP199" s="224"/>
      <c r="AQ199" s="224"/>
      <c r="AR199" s="231"/>
      <c r="AS199" s="231"/>
      <c r="AT199" s="231"/>
      <c r="AU199" s="231"/>
      <c r="AV199" s="231"/>
      <c r="AW199" s="231"/>
      <c r="AX199" s="231"/>
      <c r="AY199" s="231"/>
      <c r="AZ199" s="231"/>
      <c r="BA199" s="231"/>
      <c r="BB199" s="231"/>
      <c r="BC199" s="231"/>
      <c r="BD199" s="231"/>
      <c r="BE199" s="231"/>
      <c r="BF199" s="231"/>
      <c r="BG199" s="231"/>
      <c r="BH199" s="231"/>
      <c r="BI199" s="231"/>
      <c r="BJ199" s="231"/>
      <c r="DD199" s="70" t="s">
        <v>198</v>
      </c>
      <c r="DE199" s="70"/>
      <c r="DF199" s="70"/>
      <c r="DG199" s="70"/>
      <c r="DH199" s="70"/>
      <c r="DI199" s="70"/>
      <c r="DJ199" s="70"/>
      <c r="DK199" s="70"/>
      <c r="DL199" s="70"/>
      <c r="DM199" s="70"/>
      <c r="DN199" s="70"/>
      <c r="DO199" s="70"/>
      <c r="DP199" s="70"/>
      <c r="DQ199" s="508" t="str">
        <f t="shared" si="50"/>
        <v>3848</v>
      </c>
      <c r="DR199" s="508"/>
      <c r="DS199" s="236">
        <v>5</v>
      </c>
      <c r="DT199" s="508">
        <v>8906</v>
      </c>
      <c r="DU199" s="508"/>
      <c r="DV199" s="236">
        <v>1</v>
      </c>
      <c r="DW199" s="236">
        <v>2</v>
      </c>
      <c r="DX199" s="508" t="str">
        <f t="shared" si="51"/>
        <v>3848</v>
      </c>
      <c r="DY199" s="508"/>
      <c r="DZ199" s="236">
        <f t="shared" si="52"/>
        <v>5</v>
      </c>
      <c r="EA199" s="72">
        <f t="shared" si="62"/>
        <v>1</v>
      </c>
      <c r="EB199" s="72">
        <f t="shared" si="63"/>
        <v>1</v>
      </c>
      <c r="EC199" s="72">
        <f t="shared" si="53"/>
        <v>0</v>
      </c>
      <c r="ED199" s="508">
        <f t="shared" si="54"/>
        <v>0</v>
      </c>
      <c r="EE199" s="508"/>
      <c r="EF199" s="236">
        <f t="shared" si="55"/>
        <v>0</v>
      </c>
      <c r="EG199" s="508">
        <f t="shared" si="56"/>
        <v>0</v>
      </c>
      <c r="EH199" s="508"/>
      <c r="EI199" s="236">
        <f t="shared" si="57"/>
        <v>0</v>
      </c>
      <c r="EJ199" s="236">
        <f t="shared" si="58"/>
        <v>0</v>
      </c>
      <c r="EK199" s="508">
        <f t="shared" si="59"/>
        <v>0</v>
      </c>
      <c r="EL199" s="508"/>
      <c r="EM199" s="236">
        <f t="shared" si="60"/>
        <v>0</v>
      </c>
      <c r="EN199" s="488">
        <f>IF(X13&lt;&gt;"",EC199*MONTH(X13-30),0)</f>
        <v>0</v>
      </c>
      <c r="EO199" s="488"/>
      <c r="EP199" s="488">
        <f>IF(X13&lt;&gt;"",EC199*(YEAR(X13-30)-1),0)</f>
        <v>0</v>
      </c>
      <c r="EQ199" s="488"/>
      <c r="ER199" s="385">
        <f t="shared" si="64"/>
        <v>0</v>
      </c>
      <c r="ES199" s="385"/>
      <c r="ET199" s="505">
        <f t="shared" si="61"/>
        <v>0</v>
      </c>
      <c r="EU199" s="505"/>
      <c r="EV199" s="82"/>
      <c r="EW199" s="82"/>
      <c r="EX199" s="82"/>
      <c r="EY199" s="82"/>
      <c r="EZ199" s="82"/>
      <c r="FA199" s="82"/>
      <c r="FB199" s="82"/>
      <c r="FC199" s="242"/>
      <c r="FD199" s="243"/>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row>
    <row r="200" spans="1:193" ht="12" hidden="1">
      <c r="A200" s="156">
        <f t="shared" si="49"/>
        <v>1</v>
      </c>
      <c r="B200" s="146"/>
      <c r="C200" s="223"/>
      <c r="D200" s="223"/>
      <c r="E200" s="146"/>
      <c r="F200" s="223"/>
      <c r="G200" s="223"/>
      <c r="H200" s="223"/>
      <c r="I200" s="146"/>
      <c r="J200" s="224"/>
      <c r="K200" s="223"/>
      <c r="L200" s="223"/>
      <c r="M200" s="223"/>
      <c r="N200" s="224"/>
      <c r="O200" s="223"/>
      <c r="P200" s="223"/>
      <c r="Q200" s="223"/>
      <c r="R200" s="224"/>
      <c r="S200" s="223"/>
      <c r="T200" s="223"/>
      <c r="U200" s="223"/>
      <c r="V200" s="224"/>
      <c r="W200" s="223"/>
      <c r="X200" s="223"/>
      <c r="Y200" s="223"/>
      <c r="Z200" s="224"/>
      <c r="AA200" s="223"/>
      <c r="AB200" s="223"/>
      <c r="AC200" s="223"/>
      <c r="AD200" s="224"/>
      <c r="AE200" s="223"/>
      <c r="AF200" s="223"/>
      <c r="AG200" s="223"/>
      <c r="AH200" s="224"/>
      <c r="AI200" s="223"/>
      <c r="AJ200" s="223"/>
      <c r="AK200" s="223"/>
      <c r="AL200" s="224"/>
      <c r="AM200" s="223"/>
      <c r="AN200" s="223"/>
      <c r="AO200" s="223"/>
      <c r="AP200" s="224"/>
      <c r="AQ200" s="224"/>
      <c r="AR200" s="231"/>
      <c r="AS200" s="231"/>
      <c r="AT200" s="231"/>
      <c r="AU200" s="231"/>
      <c r="AV200" s="231"/>
      <c r="AW200" s="231"/>
      <c r="AX200" s="231"/>
      <c r="AY200" s="231"/>
      <c r="AZ200" s="231"/>
      <c r="BA200" s="231"/>
      <c r="BB200" s="231"/>
      <c r="BC200" s="231"/>
      <c r="BD200" s="231"/>
      <c r="BE200" s="231"/>
      <c r="BF200" s="231"/>
      <c r="BG200" s="231"/>
      <c r="BH200" s="231"/>
      <c r="BI200" s="231"/>
      <c r="BJ200" s="231"/>
      <c r="DD200" s="70" t="s">
        <v>14</v>
      </c>
      <c r="DE200" s="70"/>
      <c r="DF200" s="70"/>
      <c r="DG200" s="70"/>
      <c r="DH200" s="70"/>
      <c r="DI200" s="70"/>
      <c r="DJ200" s="70"/>
      <c r="DK200" s="70"/>
      <c r="DL200" s="70"/>
      <c r="DM200" s="70"/>
      <c r="DN200" s="70"/>
      <c r="DO200" s="70"/>
      <c r="DP200" s="70"/>
      <c r="DQ200" s="508"/>
      <c r="DR200" s="508"/>
      <c r="DS200" s="236"/>
      <c r="DT200" s="508"/>
      <c r="DU200" s="508"/>
      <c r="DV200" s="236"/>
      <c r="DW200" s="236"/>
      <c r="DX200" s="508"/>
      <c r="DY200" s="508"/>
      <c r="DZ200" s="236"/>
      <c r="EA200" s="236"/>
      <c r="EB200" s="237"/>
      <c r="EC200" s="237"/>
      <c r="ED200" s="508"/>
      <c r="EE200" s="508"/>
      <c r="EF200" s="236"/>
      <c r="EG200" s="508"/>
      <c r="EH200" s="508"/>
      <c r="EI200" s="236"/>
      <c r="EJ200" s="236"/>
      <c r="EK200" s="508"/>
      <c r="EL200" s="508"/>
      <c r="EM200" s="236"/>
      <c r="EN200" s="488"/>
      <c r="EO200" s="488"/>
      <c r="EP200" s="488"/>
      <c r="EQ200" s="488"/>
      <c r="ER200" s="385"/>
      <c r="ES200" s="385"/>
      <c r="ET200" s="505"/>
      <c r="EU200" s="505"/>
      <c r="EV200" s="82"/>
      <c r="EW200" s="82"/>
      <c r="EX200" s="82"/>
      <c r="EY200" s="82"/>
      <c r="EZ200" s="82"/>
      <c r="FA200" s="82"/>
      <c r="FB200" s="82"/>
      <c r="FC200" s="242"/>
      <c r="FD200" s="243"/>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row>
    <row r="201" spans="1:188" ht="12" hidden="1">
      <c r="A201" s="156">
        <f t="shared" si="49"/>
        <v>1</v>
      </c>
      <c r="B201" s="146"/>
      <c r="C201" s="223"/>
      <c r="D201" s="223"/>
      <c r="E201" s="146"/>
      <c r="F201" s="223"/>
      <c r="G201" s="223"/>
      <c r="H201" s="223"/>
      <c r="I201" s="146"/>
      <c r="J201" s="224"/>
      <c r="K201" s="223"/>
      <c r="L201" s="223"/>
      <c r="M201" s="223"/>
      <c r="N201" s="224"/>
      <c r="O201" s="223"/>
      <c r="P201" s="223"/>
      <c r="Q201" s="223"/>
      <c r="R201" s="224"/>
      <c r="S201" s="223"/>
      <c r="T201" s="223"/>
      <c r="U201" s="223"/>
      <c r="V201" s="224"/>
      <c r="W201" s="223"/>
      <c r="X201" s="223"/>
      <c r="Y201" s="223"/>
      <c r="Z201" s="224"/>
      <c r="AA201" s="223"/>
      <c r="AB201" s="223"/>
      <c r="AC201" s="223"/>
      <c r="AD201" s="224"/>
      <c r="AE201" s="223"/>
      <c r="AF201" s="223"/>
      <c r="AG201" s="223"/>
      <c r="AH201" s="224"/>
      <c r="AI201" s="223"/>
      <c r="AJ201" s="223"/>
      <c r="AK201" s="223"/>
      <c r="AL201" s="224"/>
      <c r="AM201" s="223"/>
      <c r="AN201" s="223"/>
      <c r="AO201" s="223"/>
      <c r="AP201" s="224"/>
      <c r="AQ201" s="224"/>
      <c r="AR201" s="231"/>
      <c r="AS201" s="231"/>
      <c r="AT201" s="231"/>
      <c r="AU201" s="231"/>
      <c r="AV201" s="231"/>
      <c r="AW201" s="231"/>
      <c r="AX201" s="231"/>
      <c r="AY201" s="231"/>
      <c r="AZ201" s="231"/>
      <c r="BA201" s="231"/>
      <c r="BB201" s="231"/>
      <c r="BC201" s="231"/>
      <c r="BD201" s="231"/>
      <c r="BE201" s="231"/>
      <c r="BF201" s="231"/>
      <c r="BG201" s="231"/>
      <c r="BH201" s="231"/>
      <c r="BI201" s="231"/>
      <c r="BJ201" s="231"/>
      <c r="DD201" s="70" t="s">
        <v>14</v>
      </c>
      <c r="DE201" s="70"/>
      <c r="DF201" s="70"/>
      <c r="DG201" s="70"/>
      <c r="DH201" s="70"/>
      <c r="DI201" s="70"/>
      <c r="DJ201" s="70"/>
      <c r="DK201" s="70"/>
      <c r="DL201" s="70"/>
      <c r="DM201" s="70"/>
      <c r="DN201" s="70"/>
      <c r="DO201" s="70"/>
      <c r="DP201" s="70"/>
      <c r="DQ201" s="508"/>
      <c r="DR201" s="508"/>
      <c r="DS201" s="236"/>
      <c r="DT201" s="508"/>
      <c r="DU201" s="508"/>
      <c r="DV201" s="236"/>
      <c r="DW201" s="236"/>
      <c r="DX201" s="508"/>
      <c r="DY201" s="508"/>
      <c r="DZ201" s="236"/>
      <c r="EA201" s="236"/>
      <c r="EB201" s="237"/>
      <c r="EC201" s="237"/>
      <c r="ED201" s="508"/>
      <c r="EE201" s="508"/>
      <c r="EF201" s="236"/>
      <c r="EG201" s="508"/>
      <c r="EH201" s="508"/>
      <c r="EI201" s="236"/>
      <c r="EJ201" s="236"/>
      <c r="EK201" s="508"/>
      <c r="EL201" s="508"/>
      <c r="EM201" s="236"/>
      <c r="EN201" s="488"/>
      <c r="EO201" s="488"/>
      <c r="EP201" s="488"/>
      <c r="EQ201" s="488"/>
      <c r="ER201" s="385"/>
      <c r="ES201" s="385"/>
      <c r="ET201" s="505"/>
      <c r="EU201" s="505"/>
      <c r="EV201" s="82"/>
      <c r="EW201" s="82"/>
      <c r="EX201" s="82"/>
      <c r="EY201" s="82"/>
      <c r="EZ201" s="82"/>
      <c r="FA201" s="82"/>
      <c r="FB201" s="82"/>
      <c r="FC201" s="242"/>
      <c r="FD201" s="243"/>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row>
    <row r="202" spans="1:188" ht="12" hidden="1">
      <c r="A202" s="156">
        <f t="shared" si="49"/>
        <v>1</v>
      </c>
      <c r="B202" s="223"/>
      <c r="C202" s="223"/>
      <c r="D202" s="223"/>
      <c r="E202" s="146"/>
      <c r="F202" s="223"/>
      <c r="G202" s="223"/>
      <c r="H202" s="223"/>
      <c r="I202" s="146"/>
      <c r="J202" s="224"/>
      <c r="K202" s="223"/>
      <c r="L202" s="223"/>
      <c r="M202" s="223"/>
      <c r="N202" s="224"/>
      <c r="O202" s="223"/>
      <c r="P202" s="223"/>
      <c r="Q202" s="223"/>
      <c r="R202" s="224"/>
      <c r="S202" s="223"/>
      <c r="T202" s="223"/>
      <c r="U202" s="223"/>
      <c r="V202" s="224"/>
      <c r="W202" s="223"/>
      <c r="X202" s="223"/>
      <c r="Y202" s="223"/>
      <c r="Z202" s="224"/>
      <c r="AA202" s="223"/>
      <c r="AB202" s="223"/>
      <c r="AC202" s="223"/>
      <c r="AD202" s="224"/>
      <c r="AE202" s="223"/>
      <c r="AF202" s="223"/>
      <c r="AG202" s="223"/>
      <c r="AH202" s="224"/>
      <c r="AI202" s="223"/>
      <c r="AJ202" s="223"/>
      <c r="AK202" s="223"/>
      <c r="AL202" s="224"/>
      <c r="AM202" s="223"/>
      <c r="AN202" s="223"/>
      <c r="AO202" s="223"/>
      <c r="AP202" s="224"/>
      <c r="AQ202" s="224"/>
      <c r="AR202" s="231"/>
      <c r="AS202" s="231"/>
      <c r="AT202" s="231"/>
      <c r="AU202" s="231"/>
      <c r="AV202" s="231"/>
      <c r="AW202" s="231"/>
      <c r="AX202" s="231"/>
      <c r="AY202" s="231"/>
      <c r="AZ202" s="231"/>
      <c r="BA202" s="231"/>
      <c r="BB202" s="231"/>
      <c r="BC202" s="231"/>
      <c r="BD202" s="231"/>
      <c r="BE202" s="231"/>
      <c r="BF202" s="231"/>
      <c r="BG202" s="231"/>
      <c r="BH202" s="231"/>
      <c r="BI202" s="231"/>
      <c r="BJ202" s="231"/>
      <c r="DD202" s="70" t="s">
        <v>14</v>
      </c>
      <c r="DE202" s="70"/>
      <c r="DF202" s="70"/>
      <c r="DG202" s="70"/>
      <c r="DH202" s="70"/>
      <c r="DI202" s="70"/>
      <c r="DJ202" s="70"/>
      <c r="DK202" s="70"/>
      <c r="DL202" s="70"/>
      <c r="DM202" s="70"/>
      <c r="DN202" s="70"/>
      <c r="DO202" s="70"/>
      <c r="DP202" s="70"/>
      <c r="DQ202" s="508"/>
      <c r="DR202" s="508"/>
      <c r="DS202" s="236"/>
      <c r="DT202" s="508"/>
      <c r="DU202" s="508"/>
      <c r="DV202" s="236"/>
      <c r="DW202" s="236"/>
      <c r="DX202" s="508"/>
      <c r="DY202" s="508"/>
      <c r="DZ202" s="236"/>
      <c r="EA202" s="236"/>
      <c r="EB202" s="237"/>
      <c r="EC202" s="237"/>
      <c r="ED202" s="508"/>
      <c r="EE202" s="508"/>
      <c r="EF202" s="236"/>
      <c r="EG202" s="508"/>
      <c r="EH202" s="508"/>
      <c r="EI202" s="236"/>
      <c r="EJ202" s="236"/>
      <c r="EK202" s="508"/>
      <c r="EL202" s="508"/>
      <c r="EM202" s="236"/>
      <c r="EN202" s="488"/>
      <c r="EO202" s="488"/>
      <c r="EP202" s="488"/>
      <c r="EQ202" s="488"/>
      <c r="ER202" s="385"/>
      <c r="ES202" s="385"/>
      <c r="ET202" s="505"/>
      <c r="EU202" s="505"/>
      <c r="EV202" s="82"/>
      <c r="EW202" s="82"/>
      <c r="EX202" s="82"/>
      <c r="EY202" s="82"/>
      <c r="EZ202" s="82"/>
      <c r="FA202" s="82"/>
      <c r="FB202" s="82"/>
      <c r="FC202" s="242"/>
      <c r="FD202" s="243"/>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row>
    <row r="203" spans="1:188" ht="12" hidden="1">
      <c r="A203" s="156">
        <f t="shared" si="49"/>
        <v>1</v>
      </c>
      <c r="B203" s="223"/>
      <c r="C203" s="223"/>
      <c r="D203" s="223"/>
      <c r="E203" s="146"/>
      <c r="F203" s="223"/>
      <c r="G203" s="223"/>
      <c r="H203" s="223"/>
      <c r="I203" s="146"/>
      <c r="J203" s="224"/>
      <c r="K203" s="223"/>
      <c r="L203" s="223"/>
      <c r="M203" s="223"/>
      <c r="N203" s="224"/>
      <c r="O203" s="223"/>
      <c r="P203" s="223"/>
      <c r="Q203" s="223"/>
      <c r="R203" s="224"/>
      <c r="S203" s="223"/>
      <c r="T203" s="223"/>
      <c r="U203" s="223"/>
      <c r="V203" s="224"/>
      <c r="W203" s="223"/>
      <c r="X203" s="223"/>
      <c r="Y203" s="223"/>
      <c r="Z203" s="224"/>
      <c r="AA203" s="223"/>
      <c r="AB203" s="223"/>
      <c r="AC203" s="223"/>
      <c r="AD203" s="224"/>
      <c r="AE203" s="223"/>
      <c r="AF203" s="223"/>
      <c r="AG203" s="223"/>
      <c r="AH203" s="224"/>
      <c r="AI203" s="223"/>
      <c r="AJ203" s="223"/>
      <c r="AK203" s="223"/>
      <c r="AL203" s="224"/>
      <c r="AM203" s="223"/>
      <c r="AN203" s="223"/>
      <c r="AO203" s="223"/>
      <c r="AP203" s="224"/>
      <c r="AQ203" s="224"/>
      <c r="AR203" s="231"/>
      <c r="AS203" s="231"/>
      <c r="AT203" s="231"/>
      <c r="AU203" s="231"/>
      <c r="AV203" s="231"/>
      <c r="AW203" s="231"/>
      <c r="AX203" s="231"/>
      <c r="AY203" s="231"/>
      <c r="AZ203" s="231"/>
      <c r="BA203" s="231"/>
      <c r="BB203" s="231"/>
      <c r="BC203" s="231"/>
      <c r="BD203" s="231"/>
      <c r="BE203" s="231"/>
      <c r="BF203" s="231"/>
      <c r="BG203" s="231"/>
      <c r="BH203" s="231"/>
      <c r="BI203" s="231"/>
      <c r="BJ203" s="231"/>
      <c r="DD203" s="70" t="s">
        <v>14</v>
      </c>
      <c r="DE203" s="70"/>
      <c r="DF203" s="70"/>
      <c r="DG203" s="70"/>
      <c r="DH203" s="70"/>
      <c r="DI203" s="70"/>
      <c r="DJ203" s="70"/>
      <c r="DK203" s="70"/>
      <c r="DL203" s="70"/>
      <c r="DM203" s="70"/>
      <c r="DN203" s="70"/>
      <c r="DO203" s="70"/>
      <c r="DP203" s="70"/>
      <c r="DQ203" s="508"/>
      <c r="DR203" s="508"/>
      <c r="DS203" s="236"/>
      <c r="DT203" s="508"/>
      <c r="DU203" s="508"/>
      <c r="DV203" s="236"/>
      <c r="DW203" s="236"/>
      <c r="DX203" s="508"/>
      <c r="DY203" s="508"/>
      <c r="DZ203" s="236"/>
      <c r="EA203" s="236"/>
      <c r="EB203" s="237"/>
      <c r="EC203" s="237"/>
      <c r="ED203" s="508"/>
      <c r="EE203" s="508"/>
      <c r="EF203" s="236"/>
      <c r="EG203" s="508"/>
      <c r="EH203" s="508"/>
      <c r="EI203" s="236"/>
      <c r="EJ203" s="236"/>
      <c r="EK203" s="508"/>
      <c r="EL203" s="508"/>
      <c r="EM203" s="236"/>
      <c r="EN203" s="488"/>
      <c r="EO203" s="488"/>
      <c r="EP203" s="488"/>
      <c r="EQ203" s="488"/>
      <c r="ER203" s="385"/>
      <c r="ES203" s="385"/>
      <c r="ET203" s="505"/>
      <c r="EU203" s="505"/>
      <c r="EV203" s="82"/>
      <c r="EW203" s="82"/>
      <c r="EX203" s="82"/>
      <c r="EY203" s="82"/>
      <c r="EZ203" s="82"/>
      <c r="FA203" s="82"/>
      <c r="FB203" s="82"/>
      <c r="FC203" s="242"/>
      <c r="FD203" s="243"/>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row>
    <row r="204" spans="1:188" ht="12" hidden="1">
      <c r="A204" s="156">
        <f t="shared" si="49"/>
        <v>1</v>
      </c>
      <c r="B204" s="223"/>
      <c r="C204" s="223"/>
      <c r="D204" s="223"/>
      <c r="E204" s="146"/>
      <c r="F204" s="223"/>
      <c r="G204" s="223"/>
      <c r="H204" s="223"/>
      <c r="I204" s="146"/>
      <c r="J204" s="224"/>
      <c r="K204" s="223"/>
      <c r="L204" s="223"/>
      <c r="M204" s="223"/>
      <c r="N204" s="224"/>
      <c r="O204" s="223"/>
      <c r="P204" s="223"/>
      <c r="Q204" s="223"/>
      <c r="R204" s="224"/>
      <c r="S204" s="223"/>
      <c r="T204" s="223"/>
      <c r="U204" s="223"/>
      <c r="V204" s="224"/>
      <c r="W204" s="223"/>
      <c r="X204" s="223"/>
      <c r="Y204" s="223"/>
      <c r="Z204" s="224"/>
      <c r="AA204" s="223"/>
      <c r="AB204" s="223"/>
      <c r="AC204" s="223"/>
      <c r="AD204" s="224"/>
      <c r="AE204" s="223"/>
      <c r="AF204" s="223"/>
      <c r="AG204" s="223"/>
      <c r="AH204" s="224"/>
      <c r="AI204" s="223"/>
      <c r="AJ204" s="223"/>
      <c r="AK204" s="223"/>
      <c r="AL204" s="224"/>
      <c r="AM204" s="223"/>
      <c r="AN204" s="223"/>
      <c r="AO204" s="223"/>
      <c r="AP204" s="224"/>
      <c r="AQ204" s="224"/>
      <c r="AR204" s="231"/>
      <c r="AS204" s="231"/>
      <c r="AT204" s="231"/>
      <c r="AU204" s="231"/>
      <c r="AV204" s="231"/>
      <c r="AW204" s="231"/>
      <c r="AX204" s="231"/>
      <c r="AY204" s="231"/>
      <c r="AZ204" s="231"/>
      <c r="BA204" s="231"/>
      <c r="BB204" s="231"/>
      <c r="BC204" s="231"/>
      <c r="BD204" s="231"/>
      <c r="BE204" s="231"/>
      <c r="BF204" s="231"/>
      <c r="BG204" s="231"/>
      <c r="BH204" s="231"/>
      <c r="BI204" s="231"/>
      <c r="BJ204" s="231"/>
      <c r="DD204" s="70" t="s">
        <v>14</v>
      </c>
      <c r="DE204" s="70"/>
      <c r="DF204" s="70"/>
      <c r="DG204" s="70"/>
      <c r="DH204" s="70"/>
      <c r="DI204" s="70"/>
      <c r="DJ204" s="70"/>
      <c r="DK204" s="70"/>
      <c r="DL204" s="70"/>
      <c r="DM204" s="70"/>
      <c r="DN204" s="70"/>
      <c r="DO204" s="70"/>
      <c r="DP204" s="70"/>
      <c r="DQ204" s="508"/>
      <c r="DR204" s="508"/>
      <c r="DS204" s="236"/>
      <c r="DT204" s="508"/>
      <c r="DU204" s="508"/>
      <c r="DV204" s="236"/>
      <c r="DW204" s="236"/>
      <c r="DX204" s="508"/>
      <c r="DY204" s="508"/>
      <c r="DZ204" s="236"/>
      <c r="EA204" s="236"/>
      <c r="EB204" s="237"/>
      <c r="EC204" s="237"/>
      <c r="ED204" s="508"/>
      <c r="EE204" s="508"/>
      <c r="EF204" s="236"/>
      <c r="EG204" s="508"/>
      <c r="EH204" s="508"/>
      <c r="EI204" s="236"/>
      <c r="EJ204" s="236"/>
      <c r="EK204" s="508"/>
      <c r="EL204" s="508"/>
      <c r="EM204" s="236"/>
      <c r="EN204" s="488"/>
      <c r="EO204" s="488"/>
      <c r="EP204" s="488"/>
      <c r="EQ204" s="488"/>
      <c r="ER204" s="385"/>
      <c r="ES204" s="385"/>
      <c r="ET204" s="505"/>
      <c r="EU204" s="505"/>
      <c r="EV204" s="82"/>
      <c r="EW204" s="82"/>
      <c r="EX204" s="82"/>
      <c r="EY204" s="82"/>
      <c r="EZ204" s="82"/>
      <c r="FA204" s="82"/>
      <c r="FB204" s="82"/>
      <c r="FC204" s="242"/>
      <c r="FD204" s="243"/>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row>
    <row r="205" spans="1:188" ht="12" hidden="1">
      <c r="A205" s="156">
        <f t="shared" si="49"/>
        <v>1</v>
      </c>
      <c r="B205" s="223"/>
      <c r="C205" s="223"/>
      <c r="D205" s="223"/>
      <c r="E205" s="146"/>
      <c r="F205" s="223"/>
      <c r="G205" s="223"/>
      <c r="H205" s="223"/>
      <c r="I205" s="146"/>
      <c r="J205" s="224"/>
      <c r="K205" s="223"/>
      <c r="L205" s="223"/>
      <c r="M205" s="223"/>
      <c r="N205" s="224"/>
      <c r="O205" s="223"/>
      <c r="P205" s="223"/>
      <c r="Q205" s="223"/>
      <c r="R205" s="224"/>
      <c r="S205" s="223"/>
      <c r="T205" s="223"/>
      <c r="U205" s="223"/>
      <c r="V205" s="224"/>
      <c r="W205" s="223"/>
      <c r="X205" s="223"/>
      <c r="Y205" s="223"/>
      <c r="Z205" s="224"/>
      <c r="AA205" s="223"/>
      <c r="AB205" s="223"/>
      <c r="AC205" s="223"/>
      <c r="AD205" s="224"/>
      <c r="AE205" s="223"/>
      <c r="AF205" s="223"/>
      <c r="AG205" s="223"/>
      <c r="AH205" s="224"/>
      <c r="AI205" s="223"/>
      <c r="AJ205" s="223"/>
      <c r="AK205" s="223"/>
      <c r="AL205" s="224"/>
      <c r="AM205" s="223"/>
      <c r="AN205" s="223"/>
      <c r="AO205" s="223"/>
      <c r="AP205" s="224"/>
      <c r="AQ205" s="224"/>
      <c r="AR205" s="231"/>
      <c r="AS205" s="231"/>
      <c r="AT205" s="231"/>
      <c r="AU205" s="231"/>
      <c r="AV205" s="231"/>
      <c r="AW205" s="231"/>
      <c r="AX205" s="231"/>
      <c r="AY205" s="231"/>
      <c r="AZ205" s="231"/>
      <c r="BA205" s="231"/>
      <c r="BB205" s="231"/>
      <c r="BC205" s="231"/>
      <c r="BD205" s="231"/>
      <c r="BE205" s="231"/>
      <c r="BF205" s="231"/>
      <c r="BG205" s="231"/>
      <c r="BH205" s="231"/>
      <c r="BI205" s="231"/>
      <c r="BJ205" s="231"/>
      <c r="DD205" s="70" t="s">
        <v>14</v>
      </c>
      <c r="DE205" s="70"/>
      <c r="DF205" s="70"/>
      <c r="DG205" s="70"/>
      <c r="DH205" s="70"/>
      <c r="DI205" s="70"/>
      <c r="DJ205" s="70"/>
      <c r="DK205" s="70"/>
      <c r="DL205" s="70"/>
      <c r="DM205" s="70"/>
      <c r="DN205" s="70"/>
      <c r="DO205" s="70"/>
      <c r="DP205" s="70"/>
      <c r="DQ205" s="508"/>
      <c r="DR205" s="508"/>
      <c r="DS205" s="236"/>
      <c r="DT205" s="508"/>
      <c r="DU205" s="508"/>
      <c r="DV205" s="236"/>
      <c r="DW205" s="236"/>
      <c r="DX205" s="508"/>
      <c r="DY205" s="508"/>
      <c r="DZ205" s="236"/>
      <c r="EA205" s="236"/>
      <c r="EB205" s="237"/>
      <c r="EC205" s="237"/>
      <c r="ED205" s="508"/>
      <c r="EE205" s="508"/>
      <c r="EF205" s="236"/>
      <c r="EG205" s="508"/>
      <c r="EH205" s="508"/>
      <c r="EI205" s="236"/>
      <c r="EJ205" s="236"/>
      <c r="EK205" s="508"/>
      <c r="EL205" s="508"/>
      <c r="EM205" s="236"/>
      <c r="EN205" s="488"/>
      <c r="EO205" s="488"/>
      <c r="EP205" s="488"/>
      <c r="EQ205" s="488"/>
      <c r="ER205" s="385"/>
      <c r="ES205" s="385"/>
      <c r="ET205" s="505"/>
      <c r="EU205" s="505"/>
      <c r="EV205" s="82"/>
      <c r="EW205" s="82"/>
      <c r="EX205" s="82"/>
      <c r="EY205" s="82"/>
      <c r="EZ205" s="82"/>
      <c r="FA205" s="82"/>
      <c r="FB205" s="82"/>
      <c r="FC205" s="242"/>
      <c r="FD205" s="243"/>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row>
    <row r="206" spans="1:188" ht="12" hidden="1">
      <c r="A206" s="156">
        <f t="shared" si="49"/>
        <v>1</v>
      </c>
      <c r="B206" s="223"/>
      <c r="C206" s="223"/>
      <c r="D206" s="223"/>
      <c r="E206" s="146"/>
      <c r="F206" s="223"/>
      <c r="G206" s="223"/>
      <c r="H206" s="223"/>
      <c r="I206" s="146"/>
      <c r="J206" s="224"/>
      <c r="K206" s="223"/>
      <c r="L206" s="223"/>
      <c r="M206" s="223"/>
      <c r="N206" s="224"/>
      <c r="O206" s="223"/>
      <c r="P206" s="223"/>
      <c r="Q206" s="223"/>
      <c r="R206" s="224"/>
      <c r="S206" s="223"/>
      <c r="T206" s="223"/>
      <c r="U206" s="223"/>
      <c r="V206" s="224"/>
      <c r="W206" s="223"/>
      <c r="X206" s="223"/>
      <c r="Y206" s="223"/>
      <c r="Z206" s="224"/>
      <c r="AA206" s="223"/>
      <c r="AB206" s="223"/>
      <c r="AC206" s="223"/>
      <c r="AD206" s="224"/>
      <c r="AE206" s="223"/>
      <c r="AF206" s="223"/>
      <c r="AG206" s="223"/>
      <c r="AH206" s="224"/>
      <c r="AI206" s="223"/>
      <c r="AJ206" s="223"/>
      <c r="AK206" s="223"/>
      <c r="AL206" s="224"/>
      <c r="AM206" s="223"/>
      <c r="AN206" s="223"/>
      <c r="AO206" s="223"/>
      <c r="AP206" s="224"/>
      <c r="AQ206" s="224"/>
      <c r="AR206" s="231"/>
      <c r="AS206" s="231"/>
      <c r="AT206" s="231"/>
      <c r="AU206" s="231"/>
      <c r="AV206" s="231"/>
      <c r="AW206" s="231"/>
      <c r="AX206" s="231"/>
      <c r="AY206" s="231"/>
      <c r="AZ206" s="231"/>
      <c r="BA206" s="231"/>
      <c r="BB206" s="231"/>
      <c r="BC206" s="231"/>
      <c r="BD206" s="231"/>
      <c r="BE206" s="231"/>
      <c r="BF206" s="231"/>
      <c r="BG206" s="231"/>
      <c r="BH206" s="231"/>
      <c r="BI206" s="231"/>
      <c r="BJ206" s="231"/>
      <c r="DD206" s="70" t="s">
        <v>14</v>
      </c>
      <c r="DE206" s="70"/>
      <c r="DF206" s="70"/>
      <c r="DG206" s="70"/>
      <c r="DH206" s="70"/>
      <c r="DI206" s="70"/>
      <c r="DJ206" s="70"/>
      <c r="DK206" s="70"/>
      <c r="DL206" s="70"/>
      <c r="DM206" s="70"/>
      <c r="DN206" s="70"/>
      <c r="DO206" s="70"/>
      <c r="DP206" s="70"/>
      <c r="DQ206" s="508"/>
      <c r="DR206" s="508"/>
      <c r="DS206" s="236"/>
      <c r="DT206" s="508"/>
      <c r="DU206" s="508"/>
      <c r="DV206" s="236"/>
      <c r="DW206" s="236"/>
      <c r="DX206" s="508"/>
      <c r="DY206" s="508"/>
      <c r="DZ206" s="236"/>
      <c r="EA206" s="236"/>
      <c r="EB206" s="237"/>
      <c r="EC206" s="237"/>
      <c r="ED206" s="508"/>
      <c r="EE206" s="508"/>
      <c r="EF206" s="236"/>
      <c r="EG206" s="508"/>
      <c r="EH206" s="508"/>
      <c r="EI206" s="236"/>
      <c r="EJ206" s="236"/>
      <c r="EK206" s="508"/>
      <c r="EL206" s="508"/>
      <c r="EM206" s="236"/>
      <c r="EN206" s="488"/>
      <c r="EO206" s="488"/>
      <c r="EP206" s="488"/>
      <c r="EQ206" s="488"/>
      <c r="ER206" s="385"/>
      <c r="ES206" s="385"/>
      <c r="ET206" s="505"/>
      <c r="EU206" s="505"/>
      <c r="EV206" s="82"/>
      <c r="EW206" s="82"/>
      <c r="EX206" s="82"/>
      <c r="EY206" s="82"/>
      <c r="EZ206" s="82"/>
      <c r="FA206" s="82"/>
      <c r="FB206" s="82"/>
      <c r="FC206" s="242"/>
      <c r="FD206" s="243"/>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row>
    <row r="207" spans="1:188" ht="12" hidden="1">
      <c r="A207" s="156">
        <f t="shared" si="49"/>
        <v>1</v>
      </c>
      <c r="B207" s="223"/>
      <c r="C207" s="223"/>
      <c r="D207" s="223"/>
      <c r="E207" s="146"/>
      <c r="F207" s="223"/>
      <c r="G207" s="223"/>
      <c r="H207" s="223"/>
      <c r="I207" s="146"/>
      <c r="J207" s="224"/>
      <c r="K207" s="223"/>
      <c r="L207" s="223"/>
      <c r="M207" s="223"/>
      <c r="N207" s="224"/>
      <c r="O207" s="223"/>
      <c r="P207" s="223"/>
      <c r="Q207" s="223"/>
      <c r="R207" s="224"/>
      <c r="S207" s="223"/>
      <c r="T207" s="223"/>
      <c r="U207" s="223"/>
      <c r="V207" s="224"/>
      <c r="W207" s="223"/>
      <c r="X207" s="223"/>
      <c r="Y207" s="223"/>
      <c r="Z207" s="224"/>
      <c r="AA207" s="223"/>
      <c r="AB207" s="223"/>
      <c r="AC207" s="223"/>
      <c r="AD207" s="224"/>
      <c r="AE207" s="223"/>
      <c r="AF207" s="223"/>
      <c r="AG207" s="223"/>
      <c r="AH207" s="224"/>
      <c r="AI207" s="223"/>
      <c r="AJ207" s="223"/>
      <c r="AK207" s="223"/>
      <c r="AL207" s="224"/>
      <c r="AM207" s="223"/>
      <c r="AN207" s="223"/>
      <c r="AO207" s="223"/>
      <c r="AP207" s="224"/>
      <c r="AQ207" s="224"/>
      <c r="AR207" s="231"/>
      <c r="AS207" s="231"/>
      <c r="AT207" s="231"/>
      <c r="AU207" s="231"/>
      <c r="AV207" s="231"/>
      <c r="AW207" s="231"/>
      <c r="AX207" s="231"/>
      <c r="AY207" s="231"/>
      <c r="AZ207" s="231"/>
      <c r="BA207" s="231"/>
      <c r="BB207" s="231"/>
      <c r="BC207" s="231"/>
      <c r="BD207" s="231"/>
      <c r="BE207" s="231"/>
      <c r="BF207" s="231"/>
      <c r="BG207" s="231"/>
      <c r="BH207" s="231"/>
      <c r="BI207" s="231"/>
      <c r="BJ207" s="231"/>
      <c r="DD207" s="70" t="s">
        <v>14</v>
      </c>
      <c r="DE207" s="70"/>
      <c r="DF207" s="70"/>
      <c r="DG207" s="70"/>
      <c r="DH207" s="70"/>
      <c r="DI207" s="70"/>
      <c r="DJ207" s="70"/>
      <c r="DK207" s="70"/>
      <c r="DL207" s="70"/>
      <c r="DM207" s="70"/>
      <c r="DN207" s="70"/>
      <c r="DO207" s="70"/>
      <c r="DP207" s="70"/>
      <c r="DQ207" s="511"/>
      <c r="DR207" s="511"/>
      <c r="DS207" s="175"/>
      <c r="DT207" s="511"/>
      <c r="DU207" s="511"/>
      <c r="DV207" s="175"/>
      <c r="DW207" s="175"/>
      <c r="DX207" s="511"/>
      <c r="DY207" s="511"/>
      <c r="DZ207" s="175"/>
      <c r="EA207" s="175"/>
      <c r="EB207" s="176"/>
      <c r="EC207" s="176"/>
      <c r="ED207" s="511"/>
      <c r="EE207" s="511"/>
      <c r="EF207" s="175"/>
      <c r="EG207" s="511"/>
      <c r="EH207" s="511"/>
      <c r="EI207" s="175"/>
      <c r="EJ207" s="175"/>
      <c r="EK207" s="511"/>
      <c r="EL207" s="511"/>
      <c r="EM207" s="175"/>
      <c r="EN207" s="492"/>
      <c r="EO207" s="492"/>
      <c r="EP207" s="492"/>
      <c r="EQ207" s="492"/>
      <c r="ER207" s="385"/>
      <c r="ES207" s="385"/>
      <c r="ET207" s="511"/>
      <c r="EU207" s="511"/>
      <c r="EV207" s="164"/>
      <c r="EW207" s="164"/>
      <c r="EX207" s="164"/>
      <c r="EY207" s="164"/>
      <c r="EZ207" s="164"/>
      <c r="FA207" s="164"/>
      <c r="FB207" s="164"/>
      <c r="FC207" s="242"/>
      <c r="FD207" s="243"/>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row>
    <row r="208" spans="1:188" ht="12" hidden="1">
      <c r="A208" s="156">
        <f t="shared" si="49"/>
        <v>1</v>
      </c>
      <c r="B208" s="223"/>
      <c r="C208" s="223"/>
      <c r="D208" s="223"/>
      <c r="E208" s="146"/>
      <c r="F208" s="223"/>
      <c r="G208" s="223"/>
      <c r="H208" s="223"/>
      <c r="I208" s="146"/>
      <c r="J208" s="224"/>
      <c r="K208" s="223"/>
      <c r="L208" s="223"/>
      <c r="M208" s="223"/>
      <c r="N208" s="224"/>
      <c r="O208" s="223"/>
      <c r="P208" s="223"/>
      <c r="Q208" s="223"/>
      <c r="R208" s="224"/>
      <c r="S208" s="223"/>
      <c r="T208" s="223"/>
      <c r="U208" s="223"/>
      <c r="V208" s="224"/>
      <c r="W208" s="223"/>
      <c r="X208" s="223"/>
      <c r="Y208" s="223"/>
      <c r="Z208" s="224"/>
      <c r="AA208" s="223"/>
      <c r="AB208" s="223"/>
      <c r="AC208" s="223"/>
      <c r="AD208" s="224"/>
      <c r="AE208" s="223"/>
      <c r="AF208" s="223"/>
      <c r="AG208" s="223"/>
      <c r="AH208" s="224"/>
      <c r="AI208" s="223"/>
      <c r="AJ208" s="223"/>
      <c r="AK208" s="223"/>
      <c r="AL208" s="224"/>
      <c r="AM208" s="223"/>
      <c r="AN208" s="223"/>
      <c r="AO208" s="223"/>
      <c r="AP208" s="224"/>
      <c r="AQ208" s="224"/>
      <c r="AR208" s="231"/>
      <c r="AS208" s="231"/>
      <c r="AT208" s="231"/>
      <c r="AU208" s="231"/>
      <c r="AV208" s="231"/>
      <c r="AW208" s="231"/>
      <c r="AX208" s="231"/>
      <c r="AY208" s="231"/>
      <c r="AZ208" s="231"/>
      <c r="BA208" s="231"/>
      <c r="BB208" s="231"/>
      <c r="BC208" s="231"/>
      <c r="BD208" s="231"/>
      <c r="BE208" s="231"/>
      <c r="BF208" s="231"/>
      <c r="BG208" s="231"/>
      <c r="BH208" s="231"/>
      <c r="BI208" s="231"/>
      <c r="BJ208" s="231"/>
      <c r="DD208" s="77"/>
      <c r="DE208" s="77"/>
      <c r="DF208" s="77"/>
      <c r="DG208" s="77"/>
      <c r="DH208" s="77"/>
      <c r="DI208" s="77"/>
      <c r="DJ208" s="77"/>
      <c r="DK208" s="77"/>
      <c r="DL208" s="77"/>
      <c r="DM208" s="77"/>
      <c r="DN208" s="77"/>
      <c r="DO208" s="77"/>
      <c r="DP208" s="77"/>
      <c r="DQ208" s="505"/>
      <c r="DR208" s="505"/>
      <c r="DS208" s="71"/>
      <c r="DT208" s="505"/>
      <c r="DU208" s="505"/>
      <c r="DV208" s="71"/>
      <c r="DW208" s="71"/>
      <c r="DX208" s="505"/>
      <c r="DY208" s="505"/>
      <c r="DZ208" s="71"/>
      <c r="EA208" s="71"/>
      <c r="EB208" s="72"/>
      <c r="EC208" s="72"/>
      <c r="ED208" s="505"/>
      <c r="EE208" s="505"/>
      <c r="EF208" s="71"/>
      <c r="EG208" s="505"/>
      <c r="EH208" s="505"/>
      <c r="EI208" s="71"/>
      <c r="EJ208" s="71"/>
      <c r="EK208" s="505"/>
      <c r="EL208" s="505"/>
      <c r="EM208" s="71"/>
      <c r="EN208" s="488"/>
      <c r="EO208" s="488"/>
      <c r="EP208" s="487"/>
      <c r="EQ208" s="487"/>
      <c r="ER208" s="669">
        <f>ER174</f>
        <v>43858</v>
      </c>
      <c r="ES208" s="670"/>
      <c r="ET208" s="505">
        <f>SUM(ET178:EU207)</f>
        <v>0</v>
      </c>
      <c r="EU208" s="505"/>
      <c r="EV208" s="505">
        <f>IF(ER208="",0,IF(ET208=0,0,IF(ET208&lt;EV176,FE178,IF(ET208=EV176,IF(ER208&gt;FE182,FE178,FE179),0))))</f>
        <v>0</v>
      </c>
      <c r="EW208" s="505"/>
      <c r="EX208" s="505">
        <f>IF(ER208="",0,IF(ET208=EX176,IF(ER208&gt;FE182,FE179,FE180),0))</f>
        <v>0</v>
      </c>
      <c r="EY208" s="505"/>
      <c r="EZ208" s="505">
        <f>IF(ER208="",0,IF(ET208=EZ176,FE180,0))</f>
        <v>0</v>
      </c>
      <c r="FA208" s="505"/>
      <c r="FB208" s="71">
        <f>SUM(EV208:FA208)</f>
        <v>0</v>
      </c>
      <c r="FC208" s="242"/>
      <c r="FD208" s="243"/>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row>
    <row r="209" spans="1:183" ht="12" hidden="1">
      <c r="A209" s="156">
        <f t="shared" si="49"/>
        <v>1</v>
      </c>
      <c r="B209" s="223"/>
      <c r="C209" s="223"/>
      <c r="D209" s="223"/>
      <c r="E209" s="146"/>
      <c r="F209" s="223"/>
      <c r="G209" s="223"/>
      <c r="H209" s="223"/>
      <c r="I209" s="146"/>
      <c r="J209" s="224"/>
      <c r="K209" s="223"/>
      <c r="L209" s="223"/>
      <c r="M209" s="223"/>
      <c r="N209" s="224"/>
      <c r="O209" s="223"/>
      <c r="P209" s="223"/>
      <c r="Q209" s="223"/>
      <c r="R209" s="224"/>
      <c r="S209" s="223"/>
      <c r="T209" s="223"/>
      <c r="U209" s="223"/>
      <c r="V209" s="224"/>
      <c r="W209" s="223"/>
      <c r="X209" s="223"/>
      <c r="Y209" s="223"/>
      <c r="Z209" s="224"/>
      <c r="AA209" s="223"/>
      <c r="AB209" s="223"/>
      <c r="AC209" s="223"/>
      <c r="AD209" s="224"/>
      <c r="AE209" s="223"/>
      <c r="AF209" s="223"/>
      <c r="AG209" s="223"/>
      <c r="AH209" s="224"/>
      <c r="AI209" s="223"/>
      <c r="AJ209" s="223"/>
      <c r="AK209" s="223"/>
      <c r="AL209" s="224"/>
      <c r="AM209" s="223"/>
      <c r="AN209" s="223"/>
      <c r="AO209" s="223"/>
      <c r="AP209" s="224"/>
      <c r="AQ209" s="224"/>
      <c r="AR209" s="231"/>
      <c r="AS209" s="231"/>
      <c r="AT209" s="231"/>
      <c r="AU209" s="231"/>
      <c r="AV209" s="231"/>
      <c r="AW209" s="231"/>
      <c r="AX209" s="231"/>
      <c r="AY209" s="231"/>
      <c r="AZ209" s="231"/>
      <c r="BA209" s="231"/>
      <c r="BB209" s="231"/>
      <c r="BC209" s="231"/>
      <c r="BD209" s="231"/>
      <c r="BE209" s="231"/>
      <c r="BF209" s="231"/>
      <c r="BG209" s="231"/>
      <c r="BH209" s="231"/>
      <c r="BI209" s="231"/>
      <c r="BJ209" s="231"/>
      <c r="DD209" s="5"/>
      <c r="DE209" s="5"/>
      <c r="DF209" s="5"/>
      <c r="DG209" s="5"/>
      <c r="DH209" s="5"/>
      <c r="DI209" s="5"/>
      <c r="DJ209" s="5"/>
      <c r="DK209" s="5"/>
      <c r="DL209" s="5"/>
      <c r="DM209" s="5"/>
      <c r="DN209" s="5"/>
      <c r="DO209" s="5"/>
      <c r="DP209" s="5"/>
      <c r="DQ209" s="5"/>
      <c r="DR209" s="5"/>
      <c r="DS209" s="5"/>
      <c r="DT209" s="4"/>
      <c r="DU209" s="4"/>
      <c r="DV209" s="4"/>
      <c r="DW209" s="4"/>
      <c r="DX209" s="4"/>
      <c r="DY209" s="4"/>
      <c r="DZ209" s="4"/>
      <c r="EA209" s="4"/>
      <c r="EB209" s="4"/>
      <c r="EC209" s="4"/>
      <c r="ED209" s="4"/>
      <c r="EE209" s="4"/>
      <c r="EF209" s="4"/>
      <c r="EG209" s="4"/>
      <c r="EH209" s="5"/>
      <c r="EI209" s="5"/>
      <c r="EJ209" s="5"/>
      <c r="EK209" s="5"/>
      <c r="EL209" s="5"/>
      <c r="EM209" s="5"/>
      <c r="EN209" s="5"/>
      <c r="EO209" s="5"/>
      <c r="EP209" s="5"/>
      <c r="EQ209" s="5"/>
      <c r="ER209" s="5"/>
      <c r="ES209" s="5"/>
      <c r="ET209" s="5"/>
      <c r="EU209" s="5"/>
      <c r="EV209" s="5"/>
      <c r="EW209" s="5"/>
      <c r="EX209" s="5"/>
      <c r="EY209" s="5"/>
      <c r="EZ209" s="5"/>
      <c r="FA209" s="5"/>
      <c r="FB209" s="5"/>
      <c r="FC209" s="242"/>
      <c r="FD209" s="243"/>
      <c r="FE209" s="5"/>
      <c r="FF209" s="5"/>
      <c r="FG209" s="5"/>
      <c r="FH209" s="5"/>
      <c r="FI209" s="5"/>
      <c r="FJ209" s="5"/>
      <c r="FK209" s="5"/>
      <c r="FL209" s="5"/>
      <c r="FM209" s="5"/>
      <c r="FN209" s="5"/>
      <c r="FO209" s="5"/>
      <c r="FP209" s="5"/>
      <c r="FQ209" s="5"/>
      <c r="FR209" s="5"/>
      <c r="FS209" s="5"/>
      <c r="FT209" s="5"/>
      <c r="FU209" s="5"/>
      <c r="FV209" s="5"/>
      <c r="FW209" s="5"/>
      <c r="FX209" s="5"/>
      <c r="FY209" s="5"/>
      <c r="FZ209" s="5"/>
      <c r="GA209" s="5"/>
    </row>
    <row r="210" spans="1:183" ht="12" hidden="1">
      <c r="A210" s="156">
        <f t="shared" si="49"/>
        <v>1</v>
      </c>
      <c r="B210" s="223"/>
      <c r="C210" s="223"/>
      <c r="D210" s="223"/>
      <c r="E210" s="146"/>
      <c r="F210" s="223"/>
      <c r="G210" s="223"/>
      <c r="H210" s="223"/>
      <c r="I210" s="146"/>
      <c r="J210" s="224"/>
      <c r="K210" s="223"/>
      <c r="L210" s="223"/>
      <c r="M210" s="223"/>
      <c r="N210" s="224"/>
      <c r="O210" s="223"/>
      <c r="P210" s="223"/>
      <c r="Q210" s="223"/>
      <c r="R210" s="224"/>
      <c r="S210" s="223"/>
      <c r="T210" s="223"/>
      <c r="U210" s="223"/>
      <c r="V210" s="224"/>
      <c r="W210" s="223"/>
      <c r="X210" s="223"/>
      <c r="Y210" s="223"/>
      <c r="Z210" s="224"/>
      <c r="AA210" s="223"/>
      <c r="AB210" s="223"/>
      <c r="AC210" s="223"/>
      <c r="AD210" s="224"/>
      <c r="AE210" s="223"/>
      <c r="AF210" s="223"/>
      <c r="AG210" s="223"/>
      <c r="AH210" s="224"/>
      <c r="AI210" s="223"/>
      <c r="AJ210" s="223"/>
      <c r="AK210" s="223"/>
      <c r="AL210" s="224"/>
      <c r="AM210" s="223"/>
      <c r="AN210" s="223"/>
      <c r="AO210" s="223"/>
      <c r="AP210" s="224"/>
      <c r="AQ210" s="224"/>
      <c r="AR210" s="231"/>
      <c r="AS210" s="231"/>
      <c r="AT210" s="231"/>
      <c r="AU210" s="231"/>
      <c r="AV210" s="231"/>
      <c r="AW210" s="231"/>
      <c r="AX210" s="231"/>
      <c r="AY210" s="231"/>
      <c r="AZ210" s="231"/>
      <c r="BA210" s="231"/>
      <c r="BB210" s="231"/>
      <c r="BC210" s="231"/>
      <c r="BD210" s="231"/>
      <c r="BE210" s="231"/>
      <c r="BF210" s="231"/>
      <c r="BG210" s="231"/>
      <c r="BH210" s="231"/>
      <c r="BI210" s="231"/>
      <c r="BJ210" s="231"/>
      <c r="DD210" s="285" t="str">
        <f>P111</f>
        <v>INFEDELE DICHIARAZIONE</v>
      </c>
      <c r="DE210" s="283"/>
      <c r="DF210" s="283"/>
      <c r="DG210" s="283"/>
      <c r="DH210" s="283"/>
      <c r="DI210" s="283"/>
      <c r="DJ210" s="283"/>
      <c r="DK210" s="283"/>
      <c r="DL210" s="283"/>
      <c r="DM210" s="283"/>
      <c r="DN210" s="283"/>
      <c r="DO210" s="283"/>
      <c r="DP210" s="284"/>
      <c r="DQ210" s="397" t="s">
        <v>32</v>
      </c>
      <c r="DR210" s="397"/>
      <c r="DS210" s="52" t="s">
        <v>33</v>
      </c>
      <c r="DT210" s="397" t="s">
        <v>34</v>
      </c>
      <c r="DU210" s="397"/>
      <c r="DV210" s="52" t="s">
        <v>48</v>
      </c>
      <c r="DW210" s="52" t="s">
        <v>33</v>
      </c>
      <c r="DX210" s="397" t="s">
        <v>36</v>
      </c>
      <c r="DY210" s="397"/>
      <c r="DZ210" s="52" t="s">
        <v>33</v>
      </c>
      <c r="EA210" s="4" t="s">
        <v>49</v>
      </c>
      <c r="EB210" s="4" t="s">
        <v>49</v>
      </c>
      <c r="EC210" s="4" t="s">
        <v>49</v>
      </c>
      <c r="ED210" s="397" t="s">
        <v>32</v>
      </c>
      <c r="EE210" s="397"/>
      <c r="EF210" s="52" t="s">
        <v>33</v>
      </c>
      <c r="EG210" s="397" t="s">
        <v>34</v>
      </c>
      <c r="EH210" s="397"/>
      <c r="EI210" s="52" t="s">
        <v>48</v>
      </c>
      <c r="EJ210" s="52" t="s">
        <v>33</v>
      </c>
      <c r="EK210" s="397" t="s">
        <v>36</v>
      </c>
      <c r="EL210" s="397"/>
      <c r="EM210" s="52" t="s">
        <v>33</v>
      </c>
      <c r="EN210" s="397" t="s">
        <v>37</v>
      </c>
      <c r="EO210" s="397"/>
      <c r="EP210" s="397" t="s">
        <v>38</v>
      </c>
      <c r="EQ210" s="397"/>
      <c r="ER210" s="397" t="s">
        <v>38</v>
      </c>
      <c r="ES210" s="397"/>
      <c r="ET210" s="397" t="s">
        <v>38</v>
      </c>
      <c r="EU210" s="397"/>
      <c r="EV210" s="395">
        <f>EX210-1</f>
        <v>2018</v>
      </c>
      <c r="EW210" s="395"/>
      <c r="EX210" s="395">
        <f>EZ210-1</f>
        <v>2019</v>
      </c>
      <c r="EY210" s="395"/>
      <c r="EZ210" s="395">
        <f>EZ176</f>
        <v>2020</v>
      </c>
      <c r="FA210" s="395"/>
      <c r="FB210" s="52" t="s">
        <v>39</v>
      </c>
      <c r="FC210" s="242"/>
      <c r="FD210" s="243"/>
      <c r="FE210" s="5"/>
      <c r="FF210" s="5"/>
      <c r="FG210" s="396"/>
      <c r="FH210" s="396"/>
      <c r="FI210" s="5"/>
      <c r="FJ210" s="5"/>
      <c r="FK210" s="5"/>
      <c r="FL210" s="5"/>
      <c r="FM210" s="5"/>
      <c r="FN210" s="5"/>
      <c r="FO210" s="5"/>
      <c r="FP210" s="5"/>
      <c r="FQ210" s="5"/>
      <c r="FR210" s="5"/>
      <c r="FS210" s="5"/>
      <c r="FT210" s="5"/>
      <c r="FU210" s="5"/>
      <c r="FV210" s="5"/>
      <c r="FW210" s="5"/>
      <c r="FX210" s="5"/>
      <c r="FY210" s="5"/>
      <c r="FZ210" s="5"/>
      <c r="GA210" s="5"/>
    </row>
    <row r="211" spans="1:216" ht="12" hidden="1">
      <c r="A211" s="156">
        <f t="shared" si="49"/>
        <v>1</v>
      </c>
      <c r="B211" s="223"/>
      <c r="C211" s="223"/>
      <c r="D211" s="223"/>
      <c r="E211" s="146"/>
      <c r="F211" s="223"/>
      <c r="G211" s="223"/>
      <c r="H211" s="223"/>
      <c r="I211" s="146"/>
      <c r="J211" s="224"/>
      <c r="K211" s="223"/>
      <c r="L211" s="223"/>
      <c r="M211" s="223"/>
      <c r="N211" s="224"/>
      <c r="O211" s="223"/>
      <c r="P211" s="223"/>
      <c r="Q211" s="223"/>
      <c r="R211" s="224"/>
      <c r="S211" s="223"/>
      <c r="T211" s="223"/>
      <c r="U211" s="223"/>
      <c r="V211" s="224"/>
      <c r="W211" s="223"/>
      <c r="X211" s="223"/>
      <c r="Y211" s="223"/>
      <c r="Z211" s="224"/>
      <c r="AA211" s="223"/>
      <c r="AB211" s="223"/>
      <c r="AC211" s="223"/>
      <c r="AD211" s="224"/>
      <c r="AE211" s="223"/>
      <c r="AF211" s="223"/>
      <c r="AG211" s="223"/>
      <c r="AH211" s="224"/>
      <c r="AI211" s="223"/>
      <c r="AJ211" s="223"/>
      <c r="AK211" s="223"/>
      <c r="AL211" s="224"/>
      <c r="AM211" s="223"/>
      <c r="AN211" s="223"/>
      <c r="AO211" s="223"/>
      <c r="AP211" s="224"/>
      <c r="AQ211" s="224"/>
      <c r="AR211" s="231"/>
      <c r="AS211" s="231"/>
      <c r="AT211" s="231"/>
      <c r="AU211" s="231"/>
      <c r="AV211" s="231"/>
      <c r="AW211" s="231"/>
      <c r="AX211" s="231"/>
      <c r="AY211" s="231"/>
      <c r="AZ211" s="231"/>
      <c r="BA211" s="231"/>
      <c r="BB211" s="231"/>
      <c r="BC211" s="231"/>
      <c r="BD211" s="231"/>
      <c r="BE211" s="231"/>
      <c r="BF211" s="231"/>
      <c r="BG211" s="231"/>
      <c r="BH211" s="231"/>
      <c r="BI211" s="231"/>
      <c r="BJ211" s="231"/>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5"/>
      <c r="EU211" s="5"/>
      <c r="EV211" s="5"/>
      <c r="EW211" s="5"/>
      <c r="EX211" s="5"/>
      <c r="EY211" s="5"/>
      <c r="EZ211" s="5"/>
      <c r="FA211" s="5"/>
      <c r="FB211" s="5"/>
      <c r="FC211" s="242"/>
      <c r="FD211" s="243"/>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224" t="s">
        <v>87</v>
      </c>
      <c r="GE211" s="224">
        <f>MOD(YEAR(GB219),19)</f>
        <v>6</v>
      </c>
      <c r="GF211" s="227">
        <f>IF(GE211&gt;10,1,0)</f>
        <v>0</v>
      </c>
      <c r="GG211" s="5"/>
      <c r="GH211" s="5"/>
      <c r="GI211" s="5"/>
      <c r="GJ211" s="5"/>
      <c r="GK211" s="5"/>
      <c r="GL211" s="5"/>
      <c r="GM211" s="5"/>
      <c r="GN211" s="5"/>
      <c r="GO211" s="5"/>
      <c r="GP211" s="5"/>
      <c r="GQ211" s="5"/>
      <c r="GS211" s="5"/>
      <c r="GT211" s="5"/>
      <c r="GU211" s="224" t="s">
        <v>87</v>
      </c>
      <c r="GV211" s="224">
        <f>MOD(YEAR(GS219),19)</f>
        <v>7</v>
      </c>
      <c r="GW211" s="227">
        <f>IF(GV211&gt;10,1,0)</f>
        <v>0</v>
      </c>
      <c r="GX211" s="5"/>
      <c r="GY211" s="5"/>
      <c r="GZ211" s="5"/>
      <c r="HA211" s="5"/>
      <c r="HB211" s="5"/>
      <c r="HC211" s="5"/>
      <c r="HD211" s="5"/>
      <c r="HE211" s="5"/>
      <c r="HF211" s="5"/>
      <c r="HG211" s="5"/>
      <c r="HH211" s="5"/>
    </row>
    <row r="212" spans="1:216" ht="12" hidden="1">
      <c r="A212" s="156">
        <f t="shared" si="49"/>
        <v>1</v>
      </c>
      <c r="B212" s="223"/>
      <c r="C212" s="223"/>
      <c r="D212" s="223"/>
      <c r="E212" s="146"/>
      <c r="F212" s="223"/>
      <c r="G212" s="223"/>
      <c r="H212" s="223"/>
      <c r="I212" s="146"/>
      <c r="J212" s="224"/>
      <c r="K212" s="223"/>
      <c r="L212" s="223"/>
      <c r="M212" s="223"/>
      <c r="N212" s="224"/>
      <c r="O212" s="223"/>
      <c r="P212" s="223"/>
      <c r="Q212" s="223"/>
      <c r="R212" s="224"/>
      <c r="S212" s="223"/>
      <c r="T212" s="223"/>
      <c r="U212" s="223"/>
      <c r="V212" s="224"/>
      <c r="W212" s="223"/>
      <c r="X212" s="223"/>
      <c r="Y212" s="223"/>
      <c r="Z212" s="224"/>
      <c r="AA212" s="223"/>
      <c r="AB212" s="223"/>
      <c r="AC212" s="223"/>
      <c r="AD212" s="224"/>
      <c r="AE212" s="223"/>
      <c r="AF212" s="223"/>
      <c r="AG212" s="223"/>
      <c r="AH212" s="224"/>
      <c r="AI212" s="223"/>
      <c r="AJ212" s="223"/>
      <c r="AK212" s="223"/>
      <c r="AL212" s="224"/>
      <c r="AM212" s="223"/>
      <c r="AN212" s="223"/>
      <c r="AO212" s="223"/>
      <c r="AP212" s="224"/>
      <c r="AQ212" s="224"/>
      <c r="AR212" s="231"/>
      <c r="AS212" s="231"/>
      <c r="AT212" s="231"/>
      <c r="AU212" s="231"/>
      <c r="AV212" s="231"/>
      <c r="AW212" s="231"/>
      <c r="AX212" s="231"/>
      <c r="AY212" s="231"/>
      <c r="AZ212" s="231"/>
      <c r="BA212" s="231"/>
      <c r="BB212" s="231"/>
      <c r="BC212" s="231"/>
      <c r="BD212" s="231"/>
      <c r="BE212" s="231"/>
      <c r="BF212" s="231"/>
      <c r="BG212" s="231"/>
      <c r="BH212" s="231"/>
      <c r="BI212" s="231"/>
      <c r="BJ212" s="231"/>
      <c r="DD212" s="286" t="s">
        <v>199</v>
      </c>
      <c r="DE212" s="281"/>
      <c r="DF212" s="281"/>
      <c r="DG212" s="281"/>
      <c r="DH212" s="281"/>
      <c r="DI212" s="281"/>
      <c r="DJ212" s="281"/>
      <c r="DK212" s="281"/>
      <c r="DL212" s="281"/>
      <c r="DM212" s="281"/>
      <c r="DN212" s="281"/>
      <c r="DO212" s="281"/>
      <c r="DP212" s="281"/>
      <c r="DQ212" s="434" t="str">
        <f aca="true" t="shared" si="65" ref="DQ212:DQ226">LEFT(DD212,4)</f>
        <v>4001</v>
      </c>
      <c r="DR212" s="434"/>
      <c r="DS212" s="279">
        <v>2</v>
      </c>
      <c r="DT212" s="434">
        <v>8901</v>
      </c>
      <c r="DU212" s="434"/>
      <c r="DV212" s="279">
        <v>7</v>
      </c>
      <c r="DW212" s="279">
        <v>2</v>
      </c>
      <c r="DX212" s="434">
        <v>1989</v>
      </c>
      <c r="DY212" s="434"/>
      <c r="DZ212" s="279">
        <v>2</v>
      </c>
      <c r="EA212" s="289">
        <f>EA178</f>
        <v>1</v>
      </c>
      <c r="EB212" s="289">
        <f>EB106</f>
        <v>0</v>
      </c>
      <c r="EC212" s="289">
        <f aca="true" t="shared" si="66" ref="EC212:EC226">IF(M107=DQ212,1,0)*EA212*EB212</f>
        <v>0</v>
      </c>
      <c r="ED212" s="434">
        <f aca="true" t="shared" si="67" ref="ED212:ED225">DQ212*EC212</f>
        <v>0</v>
      </c>
      <c r="EE212" s="434"/>
      <c r="EF212" s="279">
        <f aca="true" t="shared" si="68" ref="EF212:EF226">DS212*EC212</f>
        <v>0</v>
      </c>
      <c r="EG212" s="434">
        <f aca="true" t="shared" si="69" ref="EG212:EG226">DT212*EC212</f>
        <v>0</v>
      </c>
      <c r="EH212" s="434"/>
      <c r="EI212" s="279">
        <f aca="true" t="shared" si="70" ref="EI212:EI226">DV212*EC212</f>
        <v>0</v>
      </c>
      <c r="EJ212" s="279">
        <f aca="true" t="shared" si="71" ref="EJ212:EJ226">DW212*EC212</f>
        <v>0</v>
      </c>
      <c r="EK212" s="434">
        <f aca="true" t="shared" si="72" ref="EK212:EK226">DX212*EC212</f>
        <v>0</v>
      </c>
      <c r="EL212" s="434"/>
      <c r="EM212" s="279">
        <f aca="true" t="shared" si="73" ref="EM212:EM226">DZ212*EC212</f>
        <v>0</v>
      </c>
      <c r="EN212" s="434">
        <f aca="true" t="shared" si="74" ref="EN212:EN221">EC212*1111</f>
        <v>0</v>
      </c>
      <c r="EO212" s="434"/>
      <c r="EP212" s="434">
        <f aca="true" t="shared" si="75" ref="EP212:EP226">IF(ER212&lt;&gt;0,EC212*(ER212-1),0)</f>
        <v>0</v>
      </c>
      <c r="EQ212" s="434"/>
      <c r="ER212" s="385">
        <f>ER178</f>
        <v>0</v>
      </c>
      <c r="ES212" s="385"/>
      <c r="ET212" s="434">
        <f aca="true" t="shared" si="76" ref="ET212:ET226">EC212*ER212</f>
        <v>0</v>
      </c>
      <c r="EU212" s="434"/>
      <c r="EV212" s="82"/>
      <c r="EW212" s="82"/>
      <c r="EX212" s="82"/>
      <c r="EY212" s="82"/>
      <c r="EZ212" s="82"/>
      <c r="FA212" s="82"/>
      <c r="FB212" s="82"/>
      <c r="FC212" s="242"/>
      <c r="FD212" s="243"/>
      <c r="FE212" s="55">
        <v>4</v>
      </c>
      <c r="FF212" s="159" t="s">
        <v>55</v>
      </c>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224" t="s">
        <v>89</v>
      </c>
      <c r="GE212" s="224">
        <f>MOD(YEAR(GB219),4)</f>
        <v>0</v>
      </c>
      <c r="GF212" s="228"/>
      <c r="GG212" s="5"/>
      <c r="GH212" s="5"/>
      <c r="GI212" s="5"/>
      <c r="GJ212" s="5"/>
      <c r="GK212" s="5"/>
      <c r="GL212" s="5"/>
      <c r="GM212" s="5"/>
      <c r="GN212" s="5"/>
      <c r="GO212" s="5"/>
      <c r="GP212" s="5"/>
      <c r="GQ212" s="5"/>
      <c r="GS212" s="5"/>
      <c r="GT212" s="5"/>
      <c r="GU212" s="224" t="s">
        <v>89</v>
      </c>
      <c r="GV212" s="224">
        <f>MOD(YEAR(GS219),4)</f>
        <v>1</v>
      </c>
      <c r="GW212" s="228"/>
      <c r="GX212" s="5"/>
      <c r="GY212" s="5"/>
      <c r="GZ212" s="5"/>
      <c r="HA212" s="5"/>
      <c r="HB212" s="5"/>
      <c r="HC212" s="5"/>
      <c r="HD212" s="5"/>
      <c r="HE212" s="5"/>
      <c r="HF212" s="5"/>
      <c r="HG212" s="5"/>
      <c r="HH212" s="5"/>
    </row>
    <row r="213" spans="1:216" ht="12" hidden="1">
      <c r="A213" s="156">
        <f t="shared" si="49"/>
        <v>1</v>
      </c>
      <c r="B213" s="223"/>
      <c r="C213" s="223"/>
      <c r="D213" s="223"/>
      <c r="E213" s="146"/>
      <c r="F213" s="223"/>
      <c r="G213" s="223"/>
      <c r="H213" s="223"/>
      <c r="I213" s="146"/>
      <c r="J213" s="224"/>
      <c r="K213" s="223"/>
      <c r="L213" s="223"/>
      <c r="M213" s="223"/>
      <c r="N213" s="224"/>
      <c r="O213" s="223"/>
      <c r="P213" s="223"/>
      <c r="Q213" s="223"/>
      <c r="R213" s="224"/>
      <c r="S213" s="223"/>
      <c r="T213" s="223"/>
      <c r="U213" s="223"/>
      <c r="V213" s="224"/>
      <c r="W213" s="223"/>
      <c r="X213" s="223"/>
      <c r="Y213" s="223"/>
      <c r="Z213" s="224"/>
      <c r="AA213" s="223"/>
      <c r="AB213" s="223"/>
      <c r="AC213" s="223"/>
      <c r="AD213" s="224"/>
      <c r="AE213" s="223"/>
      <c r="AF213" s="223"/>
      <c r="AG213" s="223"/>
      <c r="AH213" s="224"/>
      <c r="AI213" s="223"/>
      <c r="AJ213" s="223"/>
      <c r="AK213" s="223"/>
      <c r="AL213" s="224"/>
      <c r="AM213" s="223"/>
      <c r="AN213" s="223"/>
      <c r="AO213" s="223"/>
      <c r="AP213" s="224"/>
      <c r="AQ213" s="224"/>
      <c r="AR213" s="231"/>
      <c r="AS213" s="231"/>
      <c r="AT213" s="231"/>
      <c r="AU213" s="231"/>
      <c r="AV213" s="231"/>
      <c r="AW213" s="231"/>
      <c r="AX213" s="231"/>
      <c r="AY213" s="231"/>
      <c r="AZ213" s="231"/>
      <c r="BA213" s="231"/>
      <c r="BB213" s="231"/>
      <c r="BC213" s="231"/>
      <c r="BD213" s="231"/>
      <c r="BE213" s="231"/>
      <c r="BF213" s="231"/>
      <c r="BG213" s="231"/>
      <c r="BH213" s="231"/>
      <c r="BI213" s="231"/>
      <c r="BJ213" s="231"/>
      <c r="DD213" s="286" t="s">
        <v>200</v>
      </c>
      <c r="DE213" s="281"/>
      <c r="DF213" s="281"/>
      <c r="DG213" s="281"/>
      <c r="DH213" s="281"/>
      <c r="DI213" s="281"/>
      <c r="DJ213" s="281"/>
      <c r="DK213" s="281"/>
      <c r="DL213" s="281"/>
      <c r="DM213" s="281"/>
      <c r="DN213" s="281"/>
      <c r="DO213" s="281"/>
      <c r="DP213" s="281"/>
      <c r="DQ213" s="434" t="str">
        <f t="shared" si="65"/>
        <v>3801</v>
      </c>
      <c r="DR213" s="434"/>
      <c r="DS213" s="279">
        <v>4</v>
      </c>
      <c r="DT213" s="434">
        <v>8902</v>
      </c>
      <c r="DU213" s="434"/>
      <c r="DV213" s="279">
        <v>7</v>
      </c>
      <c r="DW213" s="279">
        <v>4</v>
      </c>
      <c r="DX213" s="434">
        <v>1994</v>
      </c>
      <c r="DY213" s="434"/>
      <c r="DZ213" s="279">
        <v>4</v>
      </c>
      <c r="EA213" s="289">
        <f aca="true" t="shared" si="77" ref="EA213:EA226">EA212</f>
        <v>1</v>
      </c>
      <c r="EB213" s="289">
        <f aca="true" t="shared" si="78" ref="EB213:EB226">EB212</f>
        <v>0</v>
      </c>
      <c r="EC213" s="289">
        <f t="shared" si="66"/>
        <v>0</v>
      </c>
      <c r="ED213" s="434">
        <f t="shared" si="67"/>
        <v>0</v>
      </c>
      <c r="EE213" s="434"/>
      <c r="EF213" s="279">
        <f t="shared" si="68"/>
        <v>0</v>
      </c>
      <c r="EG213" s="434">
        <f t="shared" si="69"/>
        <v>0</v>
      </c>
      <c r="EH213" s="434"/>
      <c r="EI213" s="279">
        <f t="shared" si="70"/>
        <v>0</v>
      </c>
      <c r="EJ213" s="279">
        <f t="shared" si="71"/>
        <v>0</v>
      </c>
      <c r="EK213" s="434">
        <f t="shared" si="72"/>
        <v>0</v>
      </c>
      <c r="EL213" s="434"/>
      <c r="EM213" s="279">
        <f t="shared" si="73"/>
        <v>0</v>
      </c>
      <c r="EN213" s="434">
        <f t="shared" si="74"/>
        <v>0</v>
      </c>
      <c r="EO213" s="434"/>
      <c r="EP213" s="434">
        <f t="shared" si="75"/>
        <v>0</v>
      </c>
      <c r="EQ213" s="434"/>
      <c r="ER213" s="385">
        <f aca="true" t="shared" si="79" ref="ER213:ER226">ER212</f>
        <v>0</v>
      </c>
      <c r="ES213" s="385"/>
      <c r="ET213" s="434">
        <f t="shared" si="76"/>
        <v>0</v>
      </c>
      <c r="EU213" s="434"/>
      <c r="EV213" s="82"/>
      <c r="EW213" s="82"/>
      <c r="EX213" s="82"/>
      <c r="EY213" s="82"/>
      <c r="EZ213" s="82"/>
      <c r="FA213" s="82"/>
      <c r="FB213" s="82"/>
      <c r="FC213" s="242"/>
      <c r="FD213" s="243"/>
      <c r="FE213" s="55">
        <v>3</v>
      </c>
      <c r="FF213" s="159" t="s">
        <v>59</v>
      </c>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224" t="s">
        <v>91</v>
      </c>
      <c r="GE213" s="224">
        <f>MOD(YEAR(GB219),7)</f>
        <v>4</v>
      </c>
      <c r="GF213" s="228"/>
      <c r="GG213" s="5"/>
      <c r="GH213" s="5"/>
      <c r="GI213" s="5"/>
      <c r="GJ213" s="5"/>
      <c r="GK213" s="5"/>
      <c r="GL213" s="5"/>
      <c r="GM213" s="5"/>
      <c r="GN213" s="5"/>
      <c r="GO213" s="5"/>
      <c r="GP213" s="5"/>
      <c r="GQ213" s="5"/>
      <c r="GS213" s="5"/>
      <c r="GT213" s="5"/>
      <c r="GU213" s="224" t="s">
        <v>91</v>
      </c>
      <c r="GV213" s="224">
        <f>MOD(YEAR(GS219),7)</f>
        <v>5</v>
      </c>
      <c r="GW213" s="228"/>
      <c r="GX213" s="5"/>
      <c r="GY213" s="5"/>
      <c r="GZ213" s="5"/>
      <c r="HA213" s="5"/>
      <c r="HB213" s="5"/>
      <c r="HC213" s="5"/>
      <c r="HD213" s="5"/>
      <c r="HE213" s="5"/>
      <c r="HF213" s="5"/>
      <c r="HG213" s="5"/>
      <c r="HH213" s="5"/>
    </row>
    <row r="214" spans="1:216" ht="12" hidden="1">
      <c r="A214" s="156">
        <f t="shared" si="49"/>
        <v>1</v>
      </c>
      <c r="B214" s="223"/>
      <c r="C214" s="223"/>
      <c r="D214" s="223"/>
      <c r="E214" s="146"/>
      <c r="F214" s="223"/>
      <c r="G214" s="223"/>
      <c r="H214" s="223"/>
      <c r="I214" s="146"/>
      <c r="J214" s="224"/>
      <c r="K214" s="223"/>
      <c r="L214" s="223"/>
      <c r="M214" s="223"/>
      <c r="N214" s="224"/>
      <c r="O214" s="223"/>
      <c r="P214" s="223"/>
      <c r="Q214" s="223"/>
      <c r="R214" s="224"/>
      <c r="S214" s="223"/>
      <c r="T214" s="223"/>
      <c r="U214" s="223"/>
      <c r="V214" s="224"/>
      <c r="W214" s="223"/>
      <c r="X214" s="223"/>
      <c r="Y214" s="223"/>
      <c r="Z214" s="224"/>
      <c r="AA214" s="223"/>
      <c r="AB214" s="223"/>
      <c r="AC214" s="223"/>
      <c r="AD214" s="224"/>
      <c r="AE214" s="223"/>
      <c r="AF214" s="223"/>
      <c r="AG214" s="223"/>
      <c r="AH214" s="224"/>
      <c r="AI214" s="223"/>
      <c r="AJ214" s="223"/>
      <c r="AK214" s="223"/>
      <c r="AL214" s="224"/>
      <c r="AM214" s="223"/>
      <c r="AN214" s="223"/>
      <c r="AO214" s="223"/>
      <c r="AP214" s="224"/>
      <c r="AQ214" s="224"/>
      <c r="AR214" s="231"/>
      <c r="AS214" s="231"/>
      <c r="AT214" s="231"/>
      <c r="AU214" s="231"/>
      <c r="AV214" s="231"/>
      <c r="AW214" s="231"/>
      <c r="AX214" s="231"/>
      <c r="AY214" s="231"/>
      <c r="AZ214" s="231"/>
      <c r="BA214" s="231"/>
      <c r="BB214" s="231"/>
      <c r="BC214" s="231"/>
      <c r="BD214" s="231"/>
      <c r="BE214" s="231"/>
      <c r="BF214" s="231"/>
      <c r="BG214" s="231"/>
      <c r="BH214" s="231"/>
      <c r="BI214" s="231"/>
      <c r="BJ214" s="231"/>
      <c r="DD214" s="286" t="s">
        <v>201</v>
      </c>
      <c r="DE214" s="281"/>
      <c r="DF214" s="281"/>
      <c r="DG214" s="281"/>
      <c r="DH214" s="281"/>
      <c r="DI214" s="281"/>
      <c r="DJ214" s="281"/>
      <c r="DK214" s="281"/>
      <c r="DL214" s="281"/>
      <c r="DM214" s="281"/>
      <c r="DN214" s="281"/>
      <c r="DO214" s="281"/>
      <c r="DP214" s="281"/>
      <c r="DQ214" s="434" t="str">
        <f t="shared" si="65"/>
        <v>3844</v>
      </c>
      <c r="DR214" s="434"/>
      <c r="DS214" s="279">
        <v>5</v>
      </c>
      <c r="DT214" s="434">
        <v>8926</v>
      </c>
      <c r="DU214" s="434"/>
      <c r="DV214" s="279">
        <v>7</v>
      </c>
      <c r="DW214" s="279">
        <v>5</v>
      </c>
      <c r="DX214" s="434">
        <v>1998</v>
      </c>
      <c r="DY214" s="434"/>
      <c r="DZ214" s="279">
        <v>5</v>
      </c>
      <c r="EA214" s="289">
        <f t="shared" si="77"/>
        <v>1</v>
      </c>
      <c r="EB214" s="289">
        <f t="shared" si="78"/>
        <v>0</v>
      </c>
      <c r="EC214" s="289">
        <f t="shared" si="66"/>
        <v>0</v>
      </c>
      <c r="ED214" s="434">
        <f t="shared" si="67"/>
        <v>0</v>
      </c>
      <c r="EE214" s="434"/>
      <c r="EF214" s="279">
        <f t="shared" si="68"/>
        <v>0</v>
      </c>
      <c r="EG214" s="434">
        <f t="shared" si="69"/>
        <v>0</v>
      </c>
      <c r="EH214" s="434"/>
      <c r="EI214" s="279">
        <f t="shared" si="70"/>
        <v>0</v>
      </c>
      <c r="EJ214" s="279">
        <f t="shared" si="71"/>
        <v>0</v>
      </c>
      <c r="EK214" s="434">
        <f t="shared" si="72"/>
        <v>0</v>
      </c>
      <c r="EL214" s="434"/>
      <c r="EM214" s="279">
        <f t="shared" si="73"/>
        <v>0</v>
      </c>
      <c r="EN214" s="434">
        <f t="shared" si="74"/>
        <v>0</v>
      </c>
      <c r="EO214" s="434"/>
      <c r="EP214" s="434">
        <f t="shared" si="75"/>
        <v>0</v>
      </c>
      <c r="EQ214" s="434"/>
      <c r="ER214" s="385">
        <f t="shared" si="79"/>
        <v>0</v>
      </c>
      <c r="ES214" s="385"/>
      <c r="ET214" s="434">
        <f t="shared" si="76"/>
        <v>0</v>
      </c>
      <c r="EU214" s="434"/>
      <c r="EV214" s="82"/>
      <c r="EW214" s="82"/>
      <c r="EX214" s="82"/>
      <c r="EY214" s="82"/>
      <c r="EZ214" s="82"/>
      <c r="FA214" s="82"/>
      <c r="FB214" s="82"/>
      <c r="FC214" s="242"/>
      <c r="FD214" s="243"/>
      <c r="FE214" s="55">
        <v>2</v>
      </c>
      <c r="FF214" s="159" t="s">
        <v>62</v>
      </c>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224" t="s">
        <v>93</v>
      </c>
      <c r="GE214" s="224">
        <f>MOD(19*GE211+24,30)</f>
        <v>18</v>
      </c>
      <c r="GF214" s="228">
        <f>IF(GE214=28,1,0)</f>
        <v>0</v>
      </c>
      <c r="GG214" s="5"/>
      <c r="GH214" s="5"/>
      <c r="GI214" s="5"/>
      <c r="GJ214" s="5"/>
      <c r="GK214" s="5"/>
      <c r="GL214" s="5"/>
      <c r="GM214" s="5"/>
      <c r="GN214" s="5"/>
      <c r="GO214" s="5"/>
      <c r="GP214" s="5"/>
      <c r="GQ214" s="5"/>
      <c r="GS214" s="5"/>
      <c r="GT214" s="5"/>
      <c r="GU214" s="224" t="s">
        <v>93</v>
      </c>
      <c r="GV214" s="224">
        <f>MOD(19*GV211+24,30)</f>
        <v>7</v>
      </c>
      <c r="GW214" s="228">
        <f>IF(GV214=28,1,0)</f>
        <v>0</v>
      </c>
      <c r="GX214" s="5"/>
      <c r="GY214" s="5"/>
      <c r="GZ214" s="5"/>
      <c r="HA214" s="5"/>
      <c r="HB214" s="5"/>
      <c r="HC214" s="5"/>
      <c r="HD214" s="5"/>
      <c r="HE214" s="5"/>
      <c r="HF214" s="5"/>
      <c r="HG214" s="5"/>
      <c r="HH214" s="5"/>
    </row>
    <row r="215" spans="1:216" ht="12" hidden="1">
      <c r="A215" s="156">
        <f t="shared" si="49"/>
        <v>1</v>
      </c>
      <c r="B215" s="231"/>
      <c r="C215" s="231"/>
      <c r="D215" s="231"/>
      <c r="E215" s="231"/>
      <c r="F215" s="231"/>
      <c r="G215" s="231"/>
      <c r="H215" s="231"/>
      <c r="I215" s="231"/>
      <c r="J215" s="231"/>
      <c r="K215" s="231"/>
      <c r="L215" s="231"/>
      <c r="M215" s="231"/>
      <c r="N215" s="231"/>
      <c r="O215" s="231"/>
      <c r="P215" s="231"/>
      <c r="Q215" s="231"/>
      <c r="R215" s="231"/>
      <c r="S215" s="231"/>
      <c r="T215" s="231"/>
      <c r="U215" s="231"/>
      <c r="V215" s="231"/>
      <c r="W215" s="231"/>
      <c r="X215" s="231"/>
      <c r="Y215" s="231"/>
      <c r="Z215" s="231"/>
      <c r="AA215" s="231"/>
      <c r="AB215" s="231"/>
      <c r="AC215" s="231"/>
      <c r="AD215" s="231"/>
      <c r="AE215" s="231"/>
      <c r="AF215" s="231"/>
      <c r="AG215" s="231"/>
      <c r="AH215" s="231"/>
      <c r="AI215" s="231"/>
      <c r="AJ215" s="231"/>
      <c r="AK215" s="231"/>
      <c r="AL215" s="231"/>
      <c r="AM215" s="231"/>
      <c r="AN215" s="231"/>
      <c r="AO215" s="231"/>
      <c r="AP215" s="231"/>
      <c r="AQ215" s="231"/>
      <c r="AR215" s="231"/>
      <c r="AS215" s="231"/>
      <c r="AT215" s="231"/>
      <c r="AU215" s="231"/>
      <c r="AV215" s="231"/>
      <c r="AW215" s="231"/>
      <c r="AX215" s="231"/>
      <c r="AY215" s="231"/>
      <c r="AZ215" s="231"/>
      <c r="BA215" s="231"/>
      <c r="BB215" s="231"/>
      <c r="BC215" s="231"/>
      <c r="BD215" s="231"/>
      <c r="BE215" s="231"/>
      <c r="BF215" s="231"/>
      <c r="BG215" s="231"/>
      <c r="BH215" s="231"/>
      <c r="BI215" s="231"/>
      <c r="BJ215" s="231"/>
      <c r="DD215" s="286" t="s">
        <v>202</v>
      </c>
      <c r="DE215" s="281"/>
      <c r="DF215" s="281"/>
      <c r="DG215" s="281"/>
      <c r="DH215" s="281"/>
      <c r="DI215" s="281"/>
      <c r="DJ215" s="281"/>
      <c r="DK215" s="281"/>
      <c r="DL215" s="281"/>
      <c r="DM215" s="281"/>
      <c r="DN215" s="281"/>
      <c r="DO215" s="281"/>
      <c r="DP215" s="281"/>
      <c r="DQ215" s="434" t="str">
        <f t="shared" si="65"/>
        <v>1842</v>
      </c>
      <c r="DR215" s="434"/>
      <c r="DS215" s="279">
        <v>2</v>
      </c>
      <c r="DT215" s="434">
        <v>8913</v>
      </c>
      <c r="DU215" s="434"/>
      <c r="DV215" s="279">
        <v>8</v>
      </c>
      <c r="DW215" s="279">
        <v>2</v>
      </c>
      <c r="DX215" s="434">
        <v>1992</v>
      </c>
      <c r="DY215" s="434"/>
      <c r="DZ215" s="279">
        <v>2</v>
      </c>
      <c r="EA215" s="289">
        <f t="shared" si="77"/>
        <v>1</v>
      </c>
      <c r="EB215" s="289">
        <f t="shared" si="78"/>
        <v>0</v>
      </c>
      <c r="EC215" s="289">
        <f t="shared" si="66"/>
        <v>0</v>
      </c>
      <c r="ED215" s="434">
        <f t="shared" si="67"/>
        <v>0</v>
      </c>
      <c r="EE215" s="434"/>
      <c r="EF215" s="279">
        <f t="shared" si="68"/>
        <v>0</v>
      </c>
      <c r="EG215" s="434">
        <f t="shared" si="69"/>
        <v>0</v>
      </c>
      <c r="EH215" s="434"/>
      <c r="EI215" s="279">
        <f t="shared" si="70"/>
        <v>0</v>
      </c>
      <c r="EJ215" s="279">
        <f t="shared" si="71"/>
        <v>0</v>
      </c>
      <c r="EK215" s="434">
        <f t="shared" si="72"/>
        <v>0</v>
      </c>
      <c r="EL215" s="434"/>
      <c r="EM215" s="279">
        <f t="shared" si="73"/>
        <v>0</v>
      </c>
      <c r="EN215" s="434">
        <f t="shared" si="74"/>
        <v>0</v>
      </c>
      <c r="EO215" s="434"/>
      <c r="EP215" s="434">
        <f t="shared" si="75"/>
        <v>0</v>
      </c>
      <c r="EQ215" s="434"/>
      <c r="ER215" s="385">
        <f t="shared" si="79"/>
        <v>0</v>
      </c>
      <c r="ES215" s="385"/>
      <c r="ET215" s="434">
        <f t="shared" si="76"/>
        <v>0</v>
      </c>
      <c r="EU215" s="434"/>
      <c r="EV215" s="82"/>
      <c r="EW215" s="82"/>
      <c r="EX215" s="172"/>
      <c r="EY215" s="172"/>
      <c r="EZ215" s="172"/>
      <c r="FA215" s="172"/>
      <c r="FB215" s="172"/>
      <c r="FC215" s="381">
        <f>12*EC215</f>
        <v>0</v>
      </c>
      <c r="FD215" s="382"/>
      <c r="FE215" s="55">
        <v>1</v>
      </c>
      <c r="FF215" s="159" t="s">
        <v>65</v>
      </c>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224" t="s">
        <v>94</v>
      </c>
      <c r="GE215" s="224">
        <f>MOD(2*GE212+4*GE213+6*GE214+5,7)</f>
        <v>3</v>
      </c>
      <c r="GF215" s="228">
        <f>IF(GE215=6,1,0)</f>
        <v>0</v>
      </c>
      <c r="GG215" s="5"/>
      <c r="GH215" s="5"/>
      <c r="GI215" s="5"/>
      <c r="GJ215" s="5"/>
      <c r="GK215" s="5"/>
      <c r="GL215" s="5"/>
      <c r="GM215" s="5"/>
      <c r="GN215" s="5"/>
      <c r="GO215" s="5"/>
      <c r="GP215" s="5"/>
      <c r="GQ215" s="5"/>
      <c r="GS215" s="5"/>
      <c r="GT215" s="5"/>
      <c r="GU215" s="224" t="s">
        <v>94</v>
      </c>
      <c r="GV215" s="224">
        <f>MOD(2*GV212+4*GV213+6*GV214+5,7)</f>
        <v>6</v>
      </c>
      <c r="GW215" s="228">
        <f>IF(GV215=6,1,0)</f>
        <v>1</v>
      </c>
      <c r="GX215" s="5"/>
      <c r="GY215" s="5"/>
      <c r="GZ215" s="5"/>
      <c r="HA215" s="5"/>
      <c r="HB215" s="5"/>
      <c r="HC215" s="5"/>
      <c r="HD215" s="5"/>
      <c r="HE215" s="5"/>
      <c r="HF215" s="5"/>
      <c r="HG215" s="5"/>
      <c r="HH215" s="5"/>
    </row>
    <row r="216" spans="1:216" ht="12" hidden="1">
      <c r="A216" s="156">
        <f t="shared" si="49"/>
        <v>1</v>
      </c>
      <c r="B216" s="231"/>
      <c r="C216" s="231"/>
      <c r="D216" s="231"/>
      <c r="E216" s="231"/>
      <c r="F216" s="231"/>
      <c r="G216" s="231"/>
      <c r="H216" s="231"/>
      <c r="I216" s="231"/>
      <c r="J216" s="231"/>
      <c r="K216" s="231"/>
      <c r="L216" s="231"/>
      <c r="M216" s="231"/>
      <c r="N216" s="231"/>
      <c r="O216" s="231"/>
      <c r="P216" s="231"/>
      <c r="Q216" s="231"/>
      <c r="R216" s="231"/>
      <c r="S216" s="231"/>
      <c r="T216" s="231"/>
      <c r="U216" s="231"/>
      <c r="V216" s="231"/>
      <c r="W216" s="231"/>
      <c r="X216" s="231"/>
      <c r="Y216" s="231"/>
      <c r="Z216" s="231"/>
      <c r="AA216" s="231"/>
      <c r="AB216" s="231"/>
      <c r="AC216" s="231"/>
      <c r="AD216" s="231"/>
      <c r="AE216" s="231"/>
      <c r="AF216" s="231"/>
      <c r="AG216" s="231"/>
      <c r="AH216" s="231"/>
      <c r="AI216" s="231"/>
      <c r="AJ216" s="231"/>
      <c r="AK216" s="231"/>
      <c r="AL216" s="231"/>
      <c r="AM216" s="231"/>
      <c r="AN216" s="231"/>
      <c r="AO216" s="231"/>
      <c r="AP216" s="231"/>
      <c r="AQ216" s="231"/>
      <c r="AR216" s="231"/>
      <c r="AS216" s="231"/>
      <c r="AT216" s="231"/>
      <c r="AU216" s="231"/>
      <c r="AV216" s="231"/>
      <c r="AW216" s="231"/>
      <c r="AX216" s="231"/>
      <c r="AY216" s="231"/>
      <c r="AZ216" s="231"/>
      <c r="BA216" s="231"/>
      <c r="BB216" s="231"/>
      <c r="BC216" s="231"/>
      <c r="BD216" s="231"/>
      <c r="BE216" s="231"/>
      <c r="BF216" s="231"/>
      <c r="BG216" s="231"/>
      <c r="BH216" s="231"/>
      <c r="BI216" s="231"/>
      <c r="BJ216" s="231"/>
      <c r="DD216" s="286" t="s">
        <v>203</v>
      </c>
      <c r="DE216" s="281"/>
      <c r="DF216" s="281"/>
      <c r="DG216" s="281"/>
      <c r="DH216" s="281"/>
      <c r="DI216" s="281"/>
      <c r="DJ216" s="281"/>
      <c r="DK216" s="281"/>
      <c r="DL216" s="281"/>
      <c r="DM216" s="281"/>
      <c r="DN216" s="281"/>
      <c r="DO216" s="281"/>
      <c r="DP216" s="281"/>
      <c r="DQ216" s="434" t="str">
        <f t="shared" si="65"/>
        <v>1683</v>
      </c>
      <c r="DR216" s="434"/>
      <c r="DS216" s="279">
        <v>2</v>
      </c>
      <c r="DT216" s="434">
        <v>8901</v>
      </c>
      <c r="DU216" s="434"/>
      <c r="DV216" s="279">
        <v>7</v>
      </c>
      <c r="DW216" s="279">
        <v>2</v>
      </c>
      <c r="DX216" s="434">
        <v>1989</v>
      </c>
      <c r="DY216" s="434"/>
      <c r="DZ216" s="279">
        <v>2</v>
      </c>
      <c r="EA216" s="289">
        <f t="shared" si="77"/>
        <v>1</v>
      </c>
      <c r="EB216" s="289">
        <f t="shared" si="78"/>
        <v>0</v>
      </c>
      <c r="EC216" s="289">
        <f t="shared" si="66"/>
        <v>0</v>
      </c>
      <c r="ED216" s="434">
        <f t="shared" si="67"/>
        <v>0</v>
      </c>
      <c r="EE216" s="434"/>
      <c r="EF216" s="279">
        <f t="shared" si="68"/>
        <v>0</v>
      </c>
      <c r="EG216" s="434">
        <f t="shared" si="69"/>
        <v>0</v>
      </c>
      <c r="EH216" s="434"/>
      <c r="EI216" s="279">
        <f t="shared" si="70"/>
        <v>0</v>
      </c>
      <c r="EJ216" s="279">
        <f t="shared" si="71"/>
        <v>0</v>
      </c>
      <c r="EK216" s="434">
        <f t="shared" si="72"/>
        <v>0</v>
      </c>
      <c r="EL216" s="434"/>
      <c r="EM216" s="279">
        <f t="shared" si="73"/>
        <v>0</v>
      </c>
      <c r="EN216" s="434">
        <f t="shared" si="74"/>
        <v>0</v>
      </c>
      <c r="EO216" s="434"/>
      <c r="EP216" s="434">
        <f t="shared" si="75"/>
        <v>0</v>
      </c>
      <c r="EQ216" s="434"/>
      <c r="ER216" s="385">
        <f t="shared" si="79"/>
        <v>0</v>
      </c>
      <c r="ES216" s="385"/>
      <c r="ET216" s="434">
        <f t="shared" si="76"/>
        <v>0</v>
      </c>
      <c r="EU216" s="434"/>
      <c r="EV216" s="82"/>
      <c r="EW216" s="82"/>
      <c r="EX216" s="82"/>
      <c r="EY216" s="82"/>
      <c r="EZ216" s="82"/>
      <c r="FA216" s="82"/>
      <c r="FB216" s="82"/>
      <c r="FC216" s="242"/>
      <c r="FD216" s="243"/>
      <c r="FE216" s="394">
        <f>DATE(FR142,FQ142,FP142)+IF(WEEKDAY(DATE(FG142-1,FF142,FE142),2)=6,2,IF(WEEKDAY(DATE(FG142-1,FF142,FE142),2)=7,1,0))</f>
        <v>43771</v>
      </c>
      <c r="FF216" s="394"/>
      <c r="FG216" s="394"/>
      <c r="FH216" s="394"/>
      <c r="FI216" s="159" t="s">
        <v>204</v>
      </c>
      <c r="FJ216" s="5"/>
      <c r="FK216" s="5"/>
      <c r="FL216" s="5"/>
      <c r="FM216" s="5"/>
      <c r="FN216" s="5"/>
      <c r="FO216" s="5"/>
      <c r="FP216" s="5"/>
      <c r="FQ216" s="5"/>
      <c r="FR216" s="5"/>
      <c r="FS216" s="5"/>
      <c r="FT216" s="5"/>
      <c r="FU216" s="5"/>
      <c r="FV216" s="5"/>
      <c r="FW216" s="5"/>
      <c r="FX216" s="5"/>
      <c r="FY216" s="5"/>
      <c r="FZ216" s="5"/>
      <c r="GA216" s="5"/>
      <c r="GB216" s="5"/>
      <c r="GC216" s="5"/>
      <c r="GD216" s="224" t="s">
        <v>40</v>
      </c>
      <c r="GE216" s="224">
        <f>IF(GE214+GE215&lt;10,3,4)</f>
        <v>4</v>
      </c>
      <c r="GF216" s="229"/>
      <c r="GG216" s="5"/>
      <c r="GH216" s="5"/>
      <c r="GI216" s="5"/>
      <c r="GJ216" s="5"/>
      <c r="GK216" s="5"/>
      <c r="GL216" s="5"/>
      <c r="GM216" s="5"/>
      <c r="GN216" s="5"/>
      <c r="GO216" s="5"/>
      <c r="GP216" s="5"/>
      <c r="GQ216" s="5"/>
      <c r="GS216" s="5"/>
      <c r="GT216" s="5"/>
      <c r="GU216" s="224" t="s">
        <v>40</v>
      </c>
      <c r="GV216" s="224">
        <f>IF(GV214+GV215&lt;10,3,4)</f>
        <v>4</v>
      </c>
      <c r="GW216" s="229"/>
      <c r="GX216" s="5"/>
      <c r="GY216" s="5"/>
      <c r="GZ216" s="5"/>
      <c r="HA216" s="5"/>
      <c r="HB216" s="5"/>
      <c r="HC216" s="5"/>
      <c r="HD216" s="5"/>
      <c r="HE216" s="5"/>
      <c r="HF216" s="5"/>
      <c r="HG216" s="5"/>
      <c r="HH216" s="5"/>
    </row>
    <row r="217" spans="1:216" ht="12" hidden="1">
      <c r="A217" s="156">
        <f t="shared" si="49"/>
        <v>1</v>
      </c>
      <c r="B217" s="231"/>
      <c r="C217" s="231"/>
      <c r="D217" s="231"/>
      <c r="E217" s="231"/>
      <c r="F217" s="231"/>
      <c r="G217" s="231"/>
      <c r="H217" s="231"/>
      <c r="I217" s="231"/>
      <c r="J217" s="231"/>
      <c r="K217" s="231"/>
      <c r="L217" s="231"/>
      <c r="M217" s="231"/>
      <c r="N217" s="231"/>
      <c r="O217" s="231"/>
      <c r="P217" s="231"/>
      <c r="Q217" s="231"/>
      <c r="R217" s="231"/>
      <c r="S217" s="231"/>
      <c r="T217" s="231"/>
      <c r="U217" s="231"/>
      <c r="V217" s="231"/>
      <c r="W217" s="231"/>
      <c r="X217" s="231"/>
      <c r="Y217" s="231"/>
      <c r="Z217" s="231"/>
      <c r="AA217" s="231"/>
      <c r="AB217" s="231"/>
      <c r="AC217" s="231"/>
      <c r="AD217" s="231"/>
      <c r="AE217" s="231"/>
      <c r="AF217" s="231"/>
      <c r="AG217" s="231"/>
      <c r="AH217" s="231"/>
      <c r="AI217" s="231"/>
      <c r="AJ217" s="231"/>
      <c r="AK217" s="231"/>
      <c r="AL217" s="231"/>
      <c r="AM217" s="231"/>
      <c r="AN217" s="231"/>
      <c r="AO217" s="231"/>
      <c r="AP217" s="231"/>
      <c r="AQ217" s="231"/>
      <c r="AR217" s="231"/>
      <c r="AS217" s="231"/>
      <c r="AT217" s="231"/>
      <c r="AU217" s="231"/>
      <c r="AV217" s="231"/>
      <c r="AW217" s="231"/>
      <c r="AX217" s="231"/>
      <c r="AY217" s="231"/>
      <c r="AZ217" s="231"/>
      <c r="BA217" s="231"/>
      <c r="BB217" s="231"/>
      <c r="BC217" s="231"/>
      <c r="BD217" s="231"/>
      <c r="BE217" s="231"/>
      <c r="BF217" s="231"/>
      <c r="BG217" s="231"/>
      <c r="BH217" s="231"/>
      <c r="BI217" s="231"/>
      <c r="BJ217" s="231"/>
      <c r="DD217" s="286" t="s">
        <v>205</v>
      </c>
      <c r="DE217" s="281"/>
      <c r="DF217" s="281"/>
      <c r="DG217" s="281"/>
      <c r="DH217" s="281"/>
      <c r="DI217" s="281"/>
      <c r="DJ217" s="281"/>
      <c r="DK217" s="281"/>
      <c r="DL217" s="281"/>
      <c r="DM217" s="281"/>
      <c r="DN217" s="281"/>
      <c r="DO217" s="281"/>
      <c r="DP217" s="281"/>
      <c r="DQ217" s="434" t="str">
        <f t="shared" si="65"/>
        <v>2003</v>
      </c>
      <c r="DR217" s="434"/>
      <c r="DS217" s="279">
        <v>2</v>
      </c>
      <c r="DT217" s="434">
        <v>8918</v>
      </c>
      <c r="DU217" s="434"/>
      <c r="DV217" s="279">
        <v>7</v>
      </c>
      <c r="DW217" s="279">
        <v>2</v>
      </c>
      <c r="DX217" s="434">
        <v>1990</v>
      </c>
      <c r="DY217" s="434"/>
      <c r="DZ217" s="279">
        <v>2</v>
      </c>
      <c r="EA217" s="289">
        <f t="shared" si="77"/>
        <v>1</v>
      </c>
      <c r="EB217" s="289">
        <f t="shared" si="78"/>
        <v>0</v>
      </c>
      <c r="EC217" s="289">
        <f t="shared" si="66"/>
        <v>0</v>
      </c>
      <c r="ED217" s="434">
        <f t="shared" si="67"/>
        <v>0</v>
      </c>
      <c r="EE217" s="434"/>
      <c r="EF217" s="279">
        <f t="shared" si="68"/>
        <v>0</v>
      </c>
      <c r="EG217" s="434">
        <f t="shared" si="69"/>
        <v>0</v>
      </c>
      <c r="EH217" s="434"/>
      <c r="EI217" s="279">
        <f t="shared" si="70"/>
        <v>0</v>
      </c>
      <c r="EJ217" s="279">
        <f t="shared" si="71"/>
        <v>0</v>
      </c>
      <c r="EK217" s="434">
        <f t="shared" si="72"/>
        <v>0</v>
      </c>
      <c r="EL217" s="434"/>
      <c r="EM217" s="279">
        <f t="shared" si="73"/>
        <v>0</v>
      </c>
      <c r="EN217" s="434">
        <f t="shared" si="74"/>
        <v>0</v>
      </c>
      <c r="EO217" s="434"/>
      <c r="EP217" s="434">
        <f t="shared" si="75"/>
        <v>0</v>
      </c>
      <c r="EQ217" s="434"/>
      <c r="ER217" s="385">
        <f t="shared" si="79"/>
        <v>0</v>
      </c>
      <c r="ES217" s="385"/>
      <c r="ET217" s="434">
        <f t="shared" si="76"/>
        <v>0</v>
      </c>
      <c r="EU217" s="434"/>
      <c r="EV217" s="82"/>
      <c r="EW217" s="82"/>
      <c r="EX217" s="82"/>
      <c r="EY217" s="82"/>
      <c r="EZ217" s="82"/>
      <c r="FA217" s="82"/>
      <c r="FB217" s="82"/>
      <c r="FC217" s="242"/>
      <c r="FD217" s="243"/>
      <c r="FE217" s="394">
        <f>GP219</f>
        <v>43861</v>
      </c>
      <c r="FF217" s="394"/>
      <c r="FG217" s="394"/>
      <c r="FH217" s="394"/>
      <c r="FI217" s="159" t="s">
        <v>206</v>
      </c>
      <c r="FJ217" s="5"/>
      <c r="FK217" s="5"/>
      <c r="FL217" s="5"/>
      <c r="FM217" s="5"/>
      <c r="FN217" s="5"/>
      <c r="FO217" s="5"/>
      <c r="FP217" s="5"/>
      <c r="FQ217" s="5"/>
      <c r="FR217" s="5"/>
      <c r="FS217" s="5"/>
      <c r="FT217" s="5"/>
      <c r="FU217" s="5"/>
      <c r="FV217" s="5"/>
      <c r="FW217" s="5"/>
      <c r="FX217" s="5"/>
      <c r="FY217" s="5"/>
      <c r="FZ217" s="5"/>
      <c r="GA217" s="5"/>
      <c r="GB217" s="5"/>
      <c r="GC217" s="5"/>
      <c r="GD217" s="224" t="s">
        <v>95</v>
      </c>
      <c r="GE217" s="224">
        <f>IF(GE216=3,GE214+GE215+22,IF(GE214+GE215-9=26,19,IF((GE214+GE215-9)*GF217=25,18,GE214+GE215-9)))</f>
        <v>12</v>
      </c>
      <c r="GF217" s="229">
        <f>GF211*GF214*GF215</f>
        <v>0</v>
      </c>
      <c r="GG217" s="5"/>
      <c r="GH217" s="5"/>
      <c r="GI217" s="5"/>
      <c r="GJ217" s="5"/>
      <c r="GK217" s="5"/>
      <c r="GL217" s="5"/>
      <c r="GM217" s="5"/>
      <c r="GN217" s="5"/>
      <c r="GO217" s="5"/>
      <c r="GP217" s="5"/>
      <c r="GQ217" s="5"/>
      <c r="GS217" s="5"/>
      <c r="GT217" s="5"/>
      <c r="GU217" s="224" t="s">
        <v>95</v>
      </c>
      <c r="GV217" s="224">
        <f>IF(GV216=3,GV214+GV215+22,IF(GV214+GV215-9=26,19,IF((GV214+GV215-9)*GW217=25,18,GV214+GV215-9)))</f>
        <v>4</v>
      </c>
      <c r="GW217" s="229">
        <f>GW211*GW214*GW215</f>
        <v>0</v>
      </c>
      <c r="GX217" s="5"/>
      <c r="GY217" s="5"/>
      <c r="GZ217" s="5"/>
      <c r="HA217" s="5"/>
      <c r="HB217" s="5"/>
      <c r="HC217" s="5"/>
      <c r="HD217" s="5"/>
      <c r="HE217" s="5"/>
      <c r="HF217" s="5"/>
      <c r="HG217" s="5"/>
      <c r="HH217" s="5"/>
    </row>
    <row r="218" spans="1:216" ht="12" hidden="1">
      <c r="A218" s="156">
        <f t="shared" si="49"/>
        <v>1</v>
      </c>
      <c r="DD218" s="286" t="s">
        <v>207</v>
      </c>
      <c r="DE218" s="281"/>
      <c r="DF218" s="281"/>
      <c r="DG218" s="281"/>
      <c r="DH218" s="281"/>
      <c r="DI218" s="281"/>
      <c r="DJ218" s="281"/>
      <c r="DK218" s="281"/>
      <c r="DL218" s="281"/>
      <c r="DM218" s="281"/>
      <c r="DN218" s="281"/>
      <c r="DO218" s="281"/>
      <c r="DP218" s="281"/>
      <c r="DQ218" s="434" t="str">
        <f t="shared" si="65"/>
        <v>2020</v>
      </c>
      <c r="DR218" s="434"/>
      <c r="DS218" s="279">
        <v>2</v>
      </c>
      <c r="DT218" s="434">
        <v>8918</v>
      </c>
      <c r="DU218" s="434"/>
      <c r="DV218" s="279">
        <v>7</v>
      </c>
      <c r="DW218" s="279">
        <v>2</v>
      </c>
      <c r="DX218" s="434">
        <v>1990</v>
      </c>
      <c r="DY218" s="434"/>
      <c r="DZ218" s="279">
        <v>2</v>
      </c>
      <c r="EA218" s="289">
        <f t="shared" si="77"/>
        <v>1</v>
      </c>
      <c r="EB218" s="289">
        <f t="shared" si="78"/>
        <v>0</v>
      </c>
      <c r="EC218" s="289">
        <f t="shared" si="66"/>
        <v>0</v>
      </c>
      <c r="ED218" s="434">
        <f t="shared" si="67"/>
        <v>0</v>
      </c>
      <c r="EE218" s="434"/>
      <c r="EF218" s="279">
        <f t="shared" si="68"/>
        <v>0</v>
      </c>
      <c r="EG218" s="434">
        <f t="shared" si="69"/>
        <v>0</v>
      </c>
      <c r="EH218" s="434"/>
      <c r="EI218" s="279">
        <f t="shared" si="70"/>
        <v>0</v>
      </c>
      <c r="EJ218" s="279">
        <f t="shared" si="71"/>
        <v>0</v>
      </c>
      <c r="EK218" s="434">
        <f t="shared" si="72"/>
        <v>0</v>
      </c>
      <c r="EL218" s="434"/>
      <c r="EM218" s="279">
        <f t="shared" si="73"/>
        <v>0</v>
      </c>
      <c r="EN218" s="434">
        <f t="shared" si="74"/>
        <v>0</v>
      </c>
      <c r="EO218" s="434"/>
      <c r="EP218" s="434">
        <f t="shared" si="75"/>
        <v>0</v>
      </c>
      <c r="EQ218" s="434"/>
      <c r="ER218" s="385">
        <f t="shared" si="79"/>
        <v>0</v>
      </c>
      <c r="ES218" s="385"/>
      <c r="ET218" s="434">
        <f t="shared" si="76"/>
        <v>0</v>
      </c>
      <c r="EU218" s="434"/>
      <c r="EV218" s="82"/>
      <c r="EW218" s="82"/>
      <c r="EX218" s="82"/>
      <c r="EY218" s="82"/>
      <c r="EZ218" s="82"/>
      <c r="FA218" s="82"/>
      <c r="FB218" s="82"/>
      <c r="FC218" s="242"/>
      <c r="FD218" s="243"/>
      <c r="FE218" s="394">
        <f>FE148</f>
        <v>44165</v>
      </c>
      <c r="FF218" s="394"/>
      <c r="FG218" s="394"/>
      <c r="FH218" s="394"/>
      <c r="FI218" s="159" t="s">
        <v>68</v>
      </c>
      <c r="FJ218" s="5"/>
      <c r="FK218" s="5"/>
      <c r="FL218" s="5"/>
      <c r="FM218" s="5"/>
      <c r="FO218" s="5"/>
      <c r="FP218" s="5"/>
      <c r="FQ218" s="5"/>
      <c r="FR218" s="5"/>
      <c r="FS218" s="5"/>
      <c r="FT218" s="5"/>
      <c r="FU218" s="5"/>
      <c r="FV218" s="5"/>
      <c r="FW218" s="5"/>
      <c r="FX218" s="5"/>
      <c r="FY218" s="5"/>
      <c r="FZ218" s="5"/>
      <c r="GA218" s="5"/>
      <c r="GB218" s="345" t="s">
        <v>96</v>
      </c>
      <c r="GC218" s="346" t="s">
        <v>97</v>
      </c>
      <c r="GD218" s="346">
        <f>DATEVALUE(CONCATENATE("06/01/",YEAR(GB219)))</f>
        <v>43836</v>
      </c>
      <c r="GE218" s="346">
        <f>DATEVALUE(CONCATENATE(GE217,"/",GE216,"/",YEAR(GB219)))+1</f>
        <v>43934</v>
      </c>
      <c r="GF218" s="346">
        <f>DATEVALUE(CONCATENATE("25/04/",YEAR(GB219)))</f>
        <v>43946</v>
      </c>
      <c r="GG218" s="346">
        <f>DATEVALUE(CONCATENATE("01/05/",YEAR(GB219)))</f>
        <v>43952</v>
      </c>
      <c r="GH218" s="346">
        <f>DATEVALUE(CONCATENATE("02/06/",YEAR(GB219)))</f>
        <v>43984</v>
      </c>
      <c r="GI218" s="346">
        <f>DATEVALUE(CONCATENATE("15/08/",YEAR(GB219)))</f>
        <v>44058</v>
      </c>
      <c r="GJ218" s="346">
        <f>DATEVALUE(CONCATENATE("01/11/",YEAR(GB219)))</f>
        <v>44136</v>
      </c>
      <c r="GK218" s="346">
        <f>DATEVALUE(CONCATENATE("08/12/",YEAR(GB219)))</f>
        <v>44173</v>
      </c>
      <c r="GL218" s="346">
        <f>DATEVALUE(CONCATENATE("25/12/",YEAR(GB219)))</f>
        <v>44190</v>
      </c>
      <c r="GM218" s="346">
        <f>DATEVALUE(CONCATENATE("01/01/",YEAR(GB219)+1))</f>
        <v>44197</v>
      </c>
      <c r="GN218" s="346">
        <f>DATEVALUE(CONCATENATE("06/01/",YEAR(GB219)+1))</f>
        <v>44202</v>
      </c>
      <c r="GO218" s="346" t="s">
        <v>97</v>
      </c>
      <c r="GP218" s="346" t="s">
        <v>98</v>
      </c>
      <c r="GQ218" s="347"/>
      <c r="GR218" s="352"/>
      <c r="GS218" s="345" t="s">
        <v>96</v>
      </c>
      <c r="GT218" s="346" t="s">
        <v>97</v>
      </c>
      <c r="GU218" s="346">
        <f>DATEVALUE(CONCATENATE("06/01/",YEAR(GS219)))</f>
        <v>44202</v>
      </c>
      <c r="GV218" s="346">
        <f>DATEVALUE(CONCATENATE(GV217,"/",GV216,"/",YEAR(GS219)))+1</f>
        <v>44291</v>
      </c>
      <c r="GW218" s="346">
        <f>DATEVALUE(CONCATENATE("25/04/",YEAR(GS219)))</f>
        <v>44311</v>
      </c>
      <c r="GX218" s="346">
        <f>DATEVALUE(CONCATENATE("01/05/",YEAR(GS219)))</f>
        <v>44317</v>
      </c>
      <c r="GY218" s="346">
        <f>DATEVALUE(CONCATENATE("02/06/",YEAR(GS219)))</f>
        <v>44349</v>
      </c>
      <c r="GZ218" s="346">
        <f>DATEVALUE(CONCATENATE("15/08/",YEAR(GS219)))</f>
        <v>44423</v>
      </c>
      <c r="HA218" s="346">
        <f>DATEVALUE(CONCATENATE("01/11/",YEAR(GS219)))</f>
        <v>44501</v>
      </c>
      <c r="HB218" s="346">
        <f>DATEVALUE(CONCATENATE("08/12/",YEAR(GS219)))</f>
        <v>44538</v>
      </c>
      <c r="HC218" s="346">
        <f>DATEVALUE(CONCATENATE("25/12/",YEAR(GS219)))</f>
        <v>44555</v>
      </c>
      <c r="HD218" s="346">
        <f>DATEVALUE(CONCATENATE("01/01/",YEAR(GS219)+1))</f>
        <v>44562</v>
      </c>
      <c r="HE218" s="346">
        <f>DATEVALUE(CONCATENATE("06/01/",YEAR(GS219)+1))</f>
        <v>44567</v>
      </c>
      <c r="HF218" s="346" t="s">
        <v>97</v>
      </c>
      <c r="HG218" s="346" t="s">
        <v>98</v>
      </c>
      <c r="HH218" s="347"/>
    </row>
    <row r="219" spans="1:216" ht="12" hidden="1">
      <c r="A219" s="156">
        <f t="shared" si="49"/>
        <v>1</v>
      </c>
      <c r="DD219" s="286" t="s">
        <v>208</v>
      </c>
      <c r="DE219" s="281"/>
      <c r="DF219" s="281"/>
      <c r="DG219" s="281"/>
      <c r="DH219" s="281"/>
      <c r="DI219" s="281"/>
      <c r="DJ219" s="281"/>
      <c r="DK219" s="281"/>
      <c r="DL219" s="281"/>
      <c r="DM219" s="281"/>
      <c r="DN219" s="281"/>
      <c r="DO219" s="281"/>
      <c r="DP219" s="281"/>
      <c r="DQ219" s="434" t="str">
        <f t="shared" si="65"/>
        <v>3800</v>
      </c>
      <c r="DR219" s="434"/>
      <c r="DS219" s="279">
        <v>4</v>
      </c>
      <c r="DT219" s="434">
        <v>8907</v>
      </c>
      <c r="DU219" s="434"/>
      <c r="DV219" s="279">
        <v>7</v>
      </c>
      <c r="DW219" s="279">
        <v>4</v>
      </c>
      <c r="DX219" s="434">
        <v>1993</v>
      </c>
      <c r="DY219" s="434"/>
      <c r="DZ219" s="279">
        <v>4</v>
      </c>
      <c r="EA219" s="289">
        <f t="shared" si="77"/>
        <v>1</v>
      </c>
      <c r="EB219" s="289">
        <f t="shared" si="78"/>
        <v>0</v>
      </c>
      <c r="EC219" s="289">
        <f t="shared" si="66"/>
        <v>0</v>
      </c>
      <c r="ED219" s="434">
        <f t="shared" si="67"/>
        <v>0</v>
      </c>
      <c r="EE219" s="434"/>
      <c r="EF219" s="279">
        <f t="shared" si="68"/>
        <v>0</v>
      </c>
      <c r="EG219" s="434">
        <f t="shared" si="69"/>
        <v>0</v>
      </c>
      <c r="EH219" s="434"/>
      <c r="EI219" s="279">
        <f t="shared" si="70"/>
        <v>0</v>
      </c>
      <c r="EJ219" s="279">
        <f t="shared" si="71"/>
        <v>0</v>
      </c>
      <c r="EK219" s="434">
        <f t="shared" si="72"/>
        <v>0</v>
      </c>
      <c r="EL219" s="434"/>
      <c r="EM219" s="279">
        <f t="shared" si="73"/>
        <v>0</v>
      </c>
      <c r="EN219" s="434">
        <f t="shared" si="74"/>
        <v>0</v>
      </c>
      <c r="EO219" s="434"/>
      <c r="EP219" s="434">
        <f t="shared" si="75"/>
        <v>0</v>
      </c>
      <c r="EQ219" s="434"/>
      <c r="ER219" s="385">
        <f t="shared" si="79"/>
        <v>0</v>
      </c>
      <c r="ES219" s="385"/>
      <c r="ET219" s="434">
        <f t="shared" si="76"/>
        <v>0</v>
      </c>
      <c r="EU219" s="434"/>
      <c r="EV219" s="82"/>
      <c r="EW219" s="82"/>
      <c r="EX219" s="82"/>
      <c r="EY219" s="82"/>
      <c r="EZ219" s="82"/>
      <c r="FA219" s="82"/>
      <c r="FB219" s="82"/>
      <c r="FC219" s="242"/>
      <c r="FD219" s="243"/>
      <c r="FE219" s="394">
        <f>HG219</f>
        <v>44256</v>
      </c>
      <c r="FF219" s="394"/>
      <c r="FG219" s="394"/>
      <c r="FH219" s="394"/>
      <c r="FI219" s="159" t="s">
        <v>132</v>
      </c>
      <c r="FJ219" s="5"/>
      <c r="FK219" s="5"/>
      <c r="FL219" s="5"/>
      <c r="FM219" s="5"/>
      <c r="FN219" s="5"/>
      <c r="FO219" s="5"/>
      <c r="FP219" s="5"/>
      <c r="FQ219" s="5"/>
      <c r="FR219" s="5"/>
      <c r="FS219" s="5"/>
      <c r="FT219" s="5"/>
      <c r="FU219" s="5"/>
      <c r="FV219" s="5"/>
      <c r="FW219" s="5"/>
      <c r="FX219" s="5"/>
      <c r="FY219" s="5"/>
      <c r="FZ219" s="5"/>
      <c r="GA219" s="5"/>
      <c r="GB219" s="348">
        <f>FE216+90</f>
        <v>43861</v>
      </c>
      <c r="GC219" s="349">
        <f>IF(WEEKDAY(GB219,2)=6,2,IF(WEEKDAY(GB219,2)=7,1,0))</f>
        <v>0</v>
      </c>
      <c r="GD219" s="349">
        <f>IF(GB219+GC219=GD218,1,0)</f>
        <v>0</v>
      </c>
      <c r="GE219" s="349">
        <f>IF(GB219+GC219=GE218,1,0)</f>
        <v>0</v>
      </c>
      <c r="GF219" s="349">
        <f>IF(GB219+GC219=GF218,1,0)</f>
        <v>0</v>
      </c>
      <c r="GG219" s="349">
        <f>IF(GB219+GC219=GG218,1,0)</f>
        <v>0</v>
      </c>
      <c r="GH219" s="349">
        <f>IF(GB219+GC219=GH218,1,0)</f>
        <v>0</v>
      </c>
      <c r="GI219" s="349">
        <f>IF(GB219+GC219=GI218,1,0)</f>
        <v>0</v>
      </c>
      <c r="GJ219" s="349">
        <f>IF(GB219+GC219=GJ218,1,0)</f>
        <v>0</v>
      </c>
      <c r="GK219" s="349">
        <f>IF(GB219+GC219=GK218,1,0)</f>
        <v>0</v>
      </c>
      <c r="GL219" s="349">
        <f>IF(GB219+GC219=GL218,2,IF(GB219+GC219=GL218+1,1,0))</f>
        <v>0</v>
      </c>
      <c r="GM219" s="349">
        <f>IF(GB219+GC219=GM218,1,0)</f>
        <v>0</v>
      </c>
      <c r="GN219" s="349">
        <f>IF(GB219+GC219=GN218,1,0)</f>
        <v>0</v>
      </c>
      <c r="GO219" s="349">
        <f>IF(WEEKDAY(GB219+SUM(GC219:GN219),2)=6,2,IF(WEEKDAY(GB219+SUM(GC219:GN219),2)=7,1,0))</f>
        <v>0</v>
      </c>
      <c r="GP219" s="350">
        <f>SUM(GB219:GO219)</f>
        <v>43861</v>
      </c>
      <c r="GQ219" s="351">
        <f>GP219-GB219</f>
        <v>0</v>
      </c>
      <c r="GR219" s="352"/>
      <c r="GS219" s="348">
        <f>FE218+90</f>
        <v>44255</v>
      </c>
      <c r="GT219" s="349">
        <f>IF(WEEKDAY(GS219,2)=6,2,IF(WEEKDAY(GS219,2)=7,1,0))</f>
        <v>1</v>
      </c>
      <c r="GU219" s="349">
        <f>IF(GS219+GT219=GU218,1,0)</f>
        <v>0</v>
      </c>
      <c r="GV219" s="349">
        <f>IF(GS219+GT219=GV218,1,0)</f>
        <v>0</v>
      </c>
      <c r="GW219" s="349">
        <f>IF(GS219+GT219=GW218,1,0)</f>
        <v>0</v>
      </c>
      <c r="GX219" s="349">
        <f>IF(GS219+GT219=GX218,1,0)</f>
        <v>0</v>
      </c>
      <c r="GY219" s="349">
        <f>IF(GS219+GT219=GY218,1,0)</f>
        <v>0</v>
      </c>
      <c r="GZ219" s="349">
        <f>IF(GS219+GT219=GZ218,1,0)</f>
        <v>0</v>
      </c>
      <c r="HA219" s="349">
        <f>IF(GS219+GT219=HA218,1,0)</f>
        <v>0</v>
      </c>
      <c r="HB219" s="349">
        <f>IF(GS219+GT219=HB218,1,0)</f>
        <v>0</v>
      </c>
      <c r="HC219" s="349">
        <f>IF(GS219+GT219=HC218,2,IF(GS219+GT219=HC218+1,1,0))</f>
        <v>0</v>
      </c>
      <c r="HD219" s="349">
        <f>IF(GS219+GT219=HD218,1,0)</f>
        <v>0</v>
      </c>
      <c r="HE219" s="349">
        <f>IF(GS219+GT219=HE218,1,0)</f>
        <v>0</v>
      </c>
      <c r="HF219" s="349">
        <f>IF(WEEKDAY(GS219+SUM(GT219:HE219),2)=6,2,IF(WEEKDAY(GS219+SUM(GT219:HE219),2)=7,1,0))</f>
        <v>0</v>
      </c>
      <c r="HG219" s="350">
        <f>SUM(GS219:HF219)</f>
        <v>44256</v>
      </c>
      <c r="HH219" s="351">
        <f>HG219-GS219</f>
        <v>1</v>
      </c>
    </row>
    <row r="220" spans="1:204" ht="12" hidden="1">
      <c r="A220" s="156">
        <f t="shared" si="49"/>
        <v>1</v>
      </c>
      <c r="DD220" s="367" t="s">
        <v>209</v>
      </c>
      <c r="DE220" s="281"/>
      <c r="DF220" s="281"/>
      <c r="DG220" s="281"/>
      <c r="DH220" s="281"/>
      <c r="DI220" s="281"/>
      <c r="DJ220" s="281"/>
      <c r="DK220" s="281"/>
      <c r="DL220" s="281"/>
      <c r="DM220" s="281"/>
      <c r="DN220" s="281"/>
      <c r="DO220" s="281"/>
      <c r="DP220" s="281"/>
      <c r="DQ220" s="434" t="str">
        <f t="shared" si="65"/>
        <v>1792</v>
      </c>
      <c r="DR220" s="434"/>
      <c r="DS220" s="279">
        <v>2</v>
      </c>
      <c r="DT220" s="434">
        <v>8913</v>
      </c>
      <c r="DU220" s="434"/>
      <c r="DV220" s="279">
        <v>7</v>
      </c>
      <c r="DW220" s="279">
        <v>2</v>
      </c>
      <c r="DX220" s="434">
        <v>1992</v>
      </c>
      <c r="DY220" s="434"/>
      <c r="DZ220" s="279">
        <v>2</v>
      </c>
      <c r="EA220" s="289">
        <f t="shared" si="77"/>
        <v>1</v>
      </c>
      <c r="EB220" s="289">
        <f t="shared" si="78"/>
        <v>0</v>
      </c>
      <c r="EC220" s="289">
        <f t="shared" si="66"/>
        <v>0</v>
      </c>
      <c r="ED220" s="434">
        <f t="shared" si="67"/>
        <v>0</v>
      </c>
      <c r="EE220" s="434"/>
      <c r="EF220" s="279">
        <f t="shared" si="68"/>
        <v>0</v>
      </c>
      <c r="EG220" s="434">
        <f t="shared" si="69"/>
        <v>0</v>
      </c>
      <c r="EH220" s="434"/>
      <c r="EI220" s="279">
        <f t="shared" si="70"/>
        <v>0</v>
      </c>
      <c r="EJ220" s="279">
        <f t="shared" si="71"/>
        <v>0</v>
      </c>
      <c r="EK220" s="434">
        <f t="shared" si="72"/>
        <v>0</v>
      </c>
      <c r="EL220" s="434"/>
      <c r="EM220" s="279">
        <f t="shared" si="73"/>
        <v>0</v>
      </c>
      <c r="EN220" s="434">
        <f t="shared" si="74"/>
        <v>0</v>
      </c>
      <c r="EO220" s="434"/>
      <c r="EP220" s="434">
        <f t="shared" si="75"/>
        <v>0</v>
      </c>
      <c r="EQ220" s="434"/>
      <c r="ER220" s="385">
        <f t="shared" si="79"/>
        <v>0</v>
      </c>
      <c r="ES220" s="385"/>
      <c r="ET220" s="434">
        <f t="shared" si="76"/>
        <v>0</v>
      </c>
      <c r="EU220" s="434"/>
      <c r="EV220" s="82"/>
      <c r="EW220" s="82"/>
      <c r="EX220" s="82"/>
      <c r="EY220" s="82"/>
      <c r="EZ220" s="82"/>
      <c r="FA220" s="82"/>
      <c r="FB220" s="82"/>
      <c r="FC220" s="381">
        <f>12*EC220</f>
        <v>0</v>
      </c>
      <c r="FD220" s="382"/>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row>
    <row r="221" spans="1:183" ht="12" hidden="1">
      <c r="A221" s="156">
        <f t="shared" si="49"/>
        <v>1</v>
      </c>
      <c r="DD221" s="286" t="s">
        <v>210</v>
      </c>
      <c r="DE221" s="281"/>
      <c r="DF221" s="281"/>
      <c r="DG221" s="281"/>
      <c r="DH221" s="281"/>
      <c r="DI221" s="281"/>
      <c r="DJ221" s="281"/>
      <c r="DK221" s="281"/>
      <c r="DL221" s="281"/>
      <c r="DM221" s="281"/>
      <c r="DN221" s="281"/>
      <c r="DO221" s="281"/>
      <c r="DP221" s="281"/>
      <c r="DQ221" s="434" t="str">
        <f t="shared" si="65"/>
        <v>1795</v>
      </c>
      <c r="DR221" s="434"/>
      <c r="DS221" s="279">
        <v>2</v>
      </c>
      <c r="DT221" s="434">
        <v>8913</v>
      </c>
      <c r="DU221" s="434"/>
      <c r="DV221" s="279">
        <v>7</v>
      </c>
      <c r="DW221" s="279">
        <v>2</v>
      </c>
      <c r="DX221" s="434">
        <v>1992</v>
      </c>
      <c r="DY221" s="434"/>
      <c r="DZ221" s="279">
        <v>2</v>
      </c>
      <c r="EA221" s="289">
        <f t="shared" si="77"/>
        <v>1</v>
      </c>
      <c r="EB221" s="289">
        <f t="shared" si="78"/>
        <v>0</v>
      </c>
      <c r="EC221" s="289">
        <f t="shared" si="66"/>
        <v>0</v>
      </c>
      <c r="ED221" s="434">
        <f t="shared" si="67"/>
        <v>0</v>
      </c>
      <c r="EE221" s="434"/>
      <c r="EF221" s="279">
        <f t="shared" si="68"/>
        <v>0</v>
      </c>
      <c r="EG221" s="434">
        <f t="shared" si="69"/>
        <v>0</v>
      </c>
      <c r="EH221" s="434"/>
      <c r="EI221" s="279">
        <f t="shared" si="70"/>
        <v>0</v>
      </c>
      <c r="EJ221" s="279">
        <f t="shared" si="71"/>
        <v>0</v>
      </c>
      <c r="EK221" s="434">
        <f t="shared" si="72"/>
        <v>0</v>
      </c>
      <c r="EL221" s="434"/>
      <c r="EM221" s="279">
        <f t="shared" si="73"/>
        <v>0</v>
      </c>
      <c r="EN221" s="434">
        <f t="shared" si="74"/>
        <v>0</v>
      </c>
      <c r="EO221" s="434"/>
      <c r="EP221" s="434">
        <f t="shared" si="75"/>
        <v>0</v>
      </c>
      <c r="EQ221" s="434"/>
      <c r="ER221" s="385">
        <f t="shared" si="79"/>
        <v>0</v>
      </c>
      <c r="ES221" s="385"/>
      <c r="ET221" s="434">
        <f t="shared" si="76"/>
        <v>0</v>
      </c>
      <c r="EU221" s="434"/>
      <c r="EV221" s="82"/>
      <c r="EW221" s="82"/>
      <c r="EX221" s="82"/>
      <c r="EY221" s="82"/>
      <c r="EZ221" s="82"/>
      <c r="FA221" s="82"/>
      <c r="FB221" s="82"/>
      <c r="FC221" s="381">
        <f>12*EC221</f>
        <v>0</v>
      </c>
      <c r="FD221" s="382"/>
      <c r="FE221" s="5"/>
      <c r="FF221" s="5"/>
      <c r="FG221" s="5"/>
      <c r="FH221" s="5"/>
      <c r="FJ221" s="5"/>
      <c r="FK221" s="5"/>
      <c r="FL221" s="5"/>
      <c r="FM221" s="5"/>
      <c r="FN221" s="5"/>
      <c r="FO221" s="5"/>
      <c r="FP221" s="5"/>
      <c r="FQ221" s="5"/>
      <c r="FR221" s="5"/>
      <c r="FS221" s="5"/>
      <c r="FT221" s="5"/>
      <c r="FU221" s="5"/>
      <c r="FV221" s="5"/>
      <c r="FW221" s="5"/>
      <c r="FX221" s="5"/>
      <c r="FY221" s="5"/>
      <c r="FZ221" s="5"/>
      <c r="GA221" s="5"/>
    </row>
    <row r="222" spans="1:183" ht="12" hidden="1">
      <c r="A222" s="156">
        <f t="shared" si="49"/>
        <v>1</v>
      </c>
      <c r="DD222" s="286" t="s">
        <v>211</v>
      </c>
      <c r="DE222" s="281"/>
      <c r="DF222" s="281"/>
      <c r="DG222" s="281"/>
      <c r="DH222" s="281"/>
      <c r="DI222" s="281"/>
      <c r="DJ222" s="281"/>
      <c r="DK222" s="281"/>
      <c r="DL222" s="281"/>
      <c r="DM222" s="281"/>
      <c r="DN222" s="281"/>
      <c r="DO222" s="281"/>
      <c r="DP222" s="281"/>
      <c r="DQ222" s="434" t="str">
        <f t="shared" si="65"/>
        <v>1816</v>
      </c>
      <c r="DR222" s="434"/>
      <c r="DS222" s="279">
        <v>2</v>
      </c>
      <c r="DT222" s="434">
        <v>8913</v>
      </c>
      <c r="DU222" s="434"/>
      <c r="DV222" s="279">
        <v>7</v>
      </c>
      <c r="DW222" s="279">
        <v>2</v>
      </c>
      <c r="DX222" s="434">
        <v>1992</v>
      </c>
      <c r="DY222" s="434"/>
      <c r="DZ222" s="279">
        <v>2</v>
      </c>
      <c r="EA222" s="289">
        <f t="shared" si="77"/>
        <v>1</v>
      </c>
      <c r="EB222" s="289">
        <f t="shared" si="78"/>
        <v>0</v>
      </c>
      <c r="EC222" s="289">
        <f t="shared" si="66"/>
        <v>0</v>
      </c>
      <c r="ED222" s="434">
        <f t="shared" si="67"/>
        <v>0</v>
      </c>
      <c r="EE222" s="434"/>
      <c r="EF222" s="279">
        <f t="shared" si="68"/>
        <v>0</v>
      </c>
      <c r="EG222" s="434">
        <f t="shared" si="69"/>
        <v>0</v>
      </c>
      <c r="EH222" s="434"/>
      <c r="EI222" s="279">
        <f t="shared" si="70"/>
        <v>0</v>
      </c>
      <c r="EJ222" s="279">
        <f t="shared" si="71"/>
        <v>0</v>
      </c>
      <c r="EK222" s="434">
        <f t="shared" si="72"/>
        <v>0</v>
      </c>
      <c r="EL222" s="434"/>
      <c r="EM222" s="279">
        <f t="shared" si="73"/>
        <v>0</v>
      </c>
      <c r="EN222" s="434"/>
      <c r="EO222" s="434"/>
      <c r="EP222" s="434">
        <f t="shared" si="75"/>
        <v>0</v>
      </c>
      <c r="EQ222" s="434"/>
      <c r="ER222" s="385">
        <f t="shared" si="79"/>
        <v>0</v>
      </c>
      <c r="ES222" s="385"/>
      <c r="ET222" s="434">
        <f t="shared" si="76"/>
        <v>0</v>
      </c>
      <c r="EU222" s="434"/>
      <c r="EV222" s="82"/>
      <c r="EW222" s="82"/>
      <c r="EX222" s="82"/>
      <c r="EY222" s="82"/>
      <c r="EZ222" s="82"/>
      <c r="FA222" s="82"/>
      <c r="FB222" s="82"/>
      <c r="FC222" s="381">
        <f>12*EC222</f>
        <v>0</v>
      </c>
      <c r="FD222" s="382"/>
      <c r="FE222" s="5">
        <f>IF(FG222&gt;2016,31,30)</f>
        <v>30</v>
      </c>
      <c r="FF222" s="5">
        <f>IF(FG222&gt;2016,10,9)</f>
        <v>9</v>
      </c>
      <c r="FG222" s="396">
        <f>ET242</f>
        <v>0</v>
      </c>
      <c r="FH222" s="396"/>
      <c r="FI222" s="5"/>
      <c r="FJ222" s="5"/>
      <c r="FK222" s="5"/>
      <c r="FL222" s="5"/>
      <c r="FM222" s="5"/>
      <c r="FN222" s="5"/>
      <c r="FO222" s="5"/>
      <c r="FP222" s="5"/>
      <c r="FQ222" s="5"/>
      <c r="FR222" s="5"/>
      <c r="FS222" s="5"/>
      <c r="FT222" s="5"/>
      <c r="FU222" s="5"/>
      <c r="FV222" s="5"/>
      <c r="FW222" s="5"/>
      <c r="FX222" s="5"/>
      <c r="FY222" s="5"/>
      <c r="FZ222" s="5"/>
      <c r="GA222" s="5"/>
    </row>
    <row r="223" spans="1:183" ht="12" hidden="1">
      <c r="A223" s="156">
        <f t="shared" si="49"/>
        <v>1</v>
      </c>
      <c r="DD223" s="286" t="s">
        <v>212</v>
      </c>
      <c r="DE223" s="281"/>
      <c r="DF223" s="281"/>
      <c r="DG223" s="281"/>
      <c r="DH223" s="281"/>
      <c r="DI223" s="281"/>
      <c r="DJ223" s="281"/>
      <c r="DK223" s="281"/>
      <c r="DL223" s="281"/>
      <c r="DM223" s="281"/>
      <c r="DN223" s="281"/>
      <c r="DO223" s="281"/>
      <c r="DP223" s="281"/>
      <c r="DQ223" s="434" t="str">
        <f t="shared" si="65"/>
        <v>4025</v>
      </c>
      <c r="DR223" s="434"/>
      <c r="DS223" s="279">
        <v>2</v>
      </c>
      <c r="DT223" s="434">
        <v>8913</v>
      </c>
      <c r="DU223" s="434"/>
      <c r="DV223" s="279">
        <v>7</v>
      </c>
      <c r="DW223" s="279">
        <v>2</v>
      </c>
      <c r="DX223" s="434">
        <v>1992</v>
      </c>
      <c r="DY223" s="434"/>
      <c r="DZ223" s="279">
        <v>2</v>
      </c>
      <c r="EA223" s="289">
        <f t="shared" si="77"/>
        <v>1</v>
      </c>
      <c r="EB223" s="289">
        <f t="shared" si="78"/>
        <v>0</v>
      </c>
      <c r="EC223" s="289">
        <f t="shared" si="66"/>
        <v>0</v>
      </c>
      <c r="ED223" s="434">
        <f t="shared" si="67"/>
        <v>0</v>
      </c>
      <c r="EE223" s="434"/>
      <c r="EF223" s="279">
        <f t="shared" si="68"/>
        <v>0</v>
      </c>
      <c r="EG223" s="434">
        <f t="shared" si="69"/>
        <v>0</v>
      </c>
      <c r="EH223" s="434"/>
      <c r="EI223" s="279">
        <f t="shared" si="70"/>
        <v>0</v>
      </c>
      <c r="EJ223" s="279">
        <f t="shared" si="71"/>
        <v>0</v>
      </c>
      <c r="EK223" s="434">
        <f t="shared" si="72"/>
        <v>0</v>
      </c>
      <c r="EL223" s="434"/>
      <c r="EM223" s="279">
        <f t="shared" si="73"/>
        <v>0</v>
      </c>
      <c r="EN223" s="434">
        <f>EC223*1111</f>
        <v>0</v>
      </c>
      <c r="EO223" s="434"/>
      <c r="EP223" s="434">
        <f t="shared" si="75"/>
        <v>0</v>
      </c>
      <c r="EQ223" s="434"/>
      <c r="ER223" s="385">
        <f t="shared" si="79"/>
        <v>0</v>
      </c>
      <c r="ES223" s="385"/>
      <c r="ET223" s="434">
        <f t="shared" si="76"/>
        <v>0</v>
      </c>
      <c r="EU223" s="434"/>
      <c r="EV223" s="82"/>
      <c r="EW223" s="82"/>
      <c r="EX223" s="82"/>
      <c r="EY223" s="82"/>
      <c r="EZ223" s="82"/>
      <c r="FA223" s="82"/>
      <c r="FB223" s="82"/>
      <c r="FC223" s="381">
        <f>12*EC223</f>
        <v>0</v>
      </c>
      <c r="FD223" s="382"/>
      <c r="FE223" s="394">
        <f>DATE(FG222,FF222,FE222)+IF(WEEKDAY(DATE(FG222,FF222,FE222),2)=6,2,IF(WEEKDAY(DATE(FG222,FF222,FE222),2)=7,1,0))</f>
        <v>275</v>
      </c>
      <c r="FF223" s="394"/>
      <c r="FG223" s="394"/>
      <c r="FH223" s="394"/>
      <c r="FI223" s="5"/>
      <c r="FJ223" s="5"/>
      <c r="FK223" s="5"/>
      <c r="FL223" s="5"/>
      <c r="FM223" s="5"/>
      <c r="FN223" s="5"/>
      <c r="FO223" s="5"/>
      <c r="FP223" s="5"/>
      <c r="FQ223" s="5"/>
      <c r="FR223" s="5"/>
      <c r="FS223" s="5"/>
      <c r="FT223" s="5"/>
      <c r="FU223" s="5"/>
      <c r="FV223" s="5"/>
      <c r="FW223" s="5"/>
      <c r="FX223" s="5"/>
      <c r="FY223" s="5"/>
      <c r="FZ223" s="5"/>
      <c r="GA223" s="5"/>
    </row>
    <row r="224" spans="1:183" ht="12" hidden="1">
      <c r="A224" s="156">
        <f t="shared" si="49"/>
        <v>1</v>
      </c>
      <c r="DD224" s="286" t="s">
        <v>213</v>
      </c>
      <c r="DE224" s="281"/>
      <c r="DF224" s="281"/>
      <c r="DG224" s="281"/>
      <c r="DH224" s="281"/>
      <c r="DI224" s="281"/>
      <c r="DJ224" s="281"/>
      <c r="DK224" s="281"/>
      <c r="DL224" s="281"/>
      <c r="DM224" s="281"/>
      <c r="DN224" s="281"/>
      <c r="DO224" s="383">
        <f>(1/3)*EC224</f>
        <v>0</v>
      </c>
      <c r="DP224" s="383"/>
      <c r="DQ224" s="584" t="str">
        <f t="shared" si="65"/>
        <v>4041</v>
      </c>
      <c r="DR224" s="584"/>
      <c r="DS224" s="279">
        <v>2</v>
      </c>
      <c r="DT224" s="584">
        <v>8908</v>
      </c>
      <c r="DU224" s="584"/>
      <c r="DV224" s="279">
        <v>7</v>
      </c>
      <c r="DW224" s="279">
        <v>2</v>
      </c>
      <c r="DX224" s="584">
        <v>1989</v>
      </c>
      <c r="DY224" s="584"/>
      <c r="DZ224" s="279">
        <v>2</v>
      </c>
      <c r="EA224" s="289">
        <f t="shared" si="77"/>
        <v>1</v>
      </c>
      <c r="EB224" s="289">
        <f t="shared" si="78"/>
        <v>0</v>
      </c>
      <c r="EC224" s="289">
        <f t="shared" si="66"/>
        <v>0</v>
      </c>
      <c r="ED224" s="434">
        <f t="shared" si="67"/>
        <v>0</v>
      </c>
      <c r="EE224" s="434"/>
      <c r="EF224" s="279">
        <f t="shared" si="68"/>
        <v>0</v>
      </c>
      <c r="EG224" s="434">
        <f t="shared" si="69"/>
        <v>0</v>
      </c>
      <c r="EH224" s="434"/>
      <c r="EI224" s="279">
        <f t="shared" si="70"/>
        <v>0</v>
      </c>
      <c r="EJ224" s="279">
        <f t="shared" si="71"/>
        <v>0</v>
      </c>
      <c r="EK224" s="434">
        <f t="shared" si="72"/>
        <v>0</v>
      </c>
      <c r="EL224" s="434"/>
      <c r="EM224" s="279">
        <f t="shared" si="73"/>
        <v>0</v>
      </c>
      <c r="EN224" s="434">
        <f>EC224*1111</f>
        <v>0</v>
      </c>
      <c r="EO224" s="434"/>
      <c r="EP224" s="434">
        <f t="shared" si="75"/>
        <v>0</v>
      </c>
      <c r="EQ224" s="434"/>
      <c r="ER224" s="385">
        <f t="shared" si="79"/>
        <v>0</v>
      </c>
      <c r="ES224" s="385"/>
      <c r="ET224" s="434">
        <f t="shared" si="76"/>
        <v>0</v>
      </c>
      <c r="EU224" s="434"/>
      <c r="EV224" s="82"/>
      <c r="EW224" s="82"/>
      <c r="EX224" s="82"/>
      <c r="EY224" s="82"/>
      <c r="EZ224" s="82"/>
      <c r="FA224" s="82"/>
      <c r="FB224" s="82"/>
      <c r="FC224" s="242"/>
      <c r="FD224" s="243"/>
      <c r="FE224" s="5"/>
      <c r="FF224" s="5"/>
      <c r="FG224" s="5"/>
      <c r="FH224" s="5"/>
      <c r="FI224" s="5"/>
      <c r="FJ224" s="5"/>
      <c r="FK224" s="5"/>
      <c r="FL224" s="5"/>
      <c r="FM224" s="5"/>
      <c r="FN224" s="5"/>
      <c r="FO224" s="5"/>
      <c r="FP224" s="5"/>
      <c r="FQ224" s="5"/>
      <c r="FR224" s="5"/>
      <c r="FS224" s="5"/>
      <c r="FT224" s="5"/>
      <c r="FU224" s="5"/>
      <c r="FV224" s="5"/>
      <c r="FW224" s="5"/>
      <c r="FX224" s="5"/>
      <c r="FY224" s="5"/>
      <c r="FZ224" s="5"/>
      <c r="GA224" s="5"/>
    </row>
    <row r="225" spans="1:183" ht="12" hidden="1">
      <c r="A225" s="156">
        <f t="shared" si="49"/>
        <v>1</v>
      </c>
      <c r="DD225" s="286" t="s">
        <v>214</v>
      </c>
      <c r="DE225" s="281"/>
      <c r="DF225" s="281"/>
      <c r="DG225" s="281"/>
      <c r="DH225" s="281"/>
      <c r="DI225" s="281"/>
      <c r="DJ225" s="281"/>
      <c r="DK225" s="281"/>
      <c r="DL225" s="281"/>
      <c r="DM225" s="281"/>
      <c r="DN225" s="281"/>
      <c r="DO225" s="383">
        <f>(1/3)*EC225</f>
        <v>0</v>
      </c>
      <c r="DP225" s="383"/>
      <c r="DQ225" s="584" t="str">
        <f t="shared" si="65"/>
        <v>4043</v>
      </c>
      <c r="DR225" s="584"/>
      <c r="DS225" s="279">
        <v>2</v>
      </c>
      <c r="DT225" s="584">
        <v>8908</v>
      </c>
      <c r="DU225" s="584"/>
      <c r="DV225" s="279">
        <v>7</v>
      </c>
      <c r="DW225" s="279">
        <v>2</v>
      </c>
      <c r="DX225" s="584">
        <v>1989</v>
      </c>
      <c r="DY225" s="584"/>
      <c r="DZ225" s="279">
        <v>2</v>
      </c>
      <c r="EA225" s="289">
        <f t="shared" si="77"/>
        <v>1</v>
      </c>
      <c r="EB225" s="289">
        <f t="shared" si="78"/>
        <v>0</v>
      </c>
      <c r="EC225" s="289">
        <f t="shared" si="66"/>
        <v>0</v>
      </c>
      <c r="ED225" s="434">
        <f t="shared" si="67"/>
        <v>0</v>
      </c>
      <c r="EE225" s="434"/>
      <c r="EF225" s="279">
        <f t="shared" si="68"/>
        <v>0</v>
      </c>
      <c r="EG225" s="434">
        <f t="shared" si="69"/>
        <v>0</v>
      </c>
      <c r="EH225" s="434"/>
      <c r="EI225" s="279">
        <f t="shared" si="70"/>
        <v>0</v>
      </c>
      <c r="EJ225" s="279">
        <f t="shared" si="71"/>
        <v>0</v>
      </c>
      <c r="EK225" s="434">
        <f t="shared" si="72"/>
        <v>0</v>
      </c>
      <c r="EL225" s="434"/>
      <c r="EM225" s="279">
        <f t="shared" si="73"/>
        <v>0</v>
      </c>
      <c r="EN225" s="434">
        <f>EC225*1111</f>
        <v>0</v>
      </c>
      <c r="EO225" s="434"/>
      <c r="EP225" s="434">
        <f t="shared" si="75"/>
        <v>0</v>
      </c>
      <c r="EQ225" s="434"/>
      <c r="ER225" s="385">
        <f t="shared" si="79"/>
        <v>0</v>
      </c>
      <c r="ES225" s="385"/>
      <c r="ET225" s="434">
        <f t="shared" si="76"/>
        <v>0</v>
      </c>
      <c r="EU225" s="434"/>
      <c r="EV225" s="82"/>
      <c r="EW225" s="82"/>
      <c r="EX225" s="82"/>
      <c r="EY225" s="82"/>
      <c r="EZ225" s="82"/>
      <c r="FA225" s="82"/>
      <c r="FB225" s="82"/>
      <c r="FC225" s="242"/>
      <c r="FD225" s="243"/>
      <c r="FE225" s="5"/>
      <c r="FF225" s="5"/>
      <c r="FG225" s="5"/>
      <c r="FH225" s="5"/>
      <c r="FI225" s="5"/>
      <c r="FJ225" s="5"/>
      <c r="FK225" s="5"/>
      <c r="FL225" s="5"/>
      <c r="FM225" s="5"/>
      <c r="FN225" s="5"/>
      <c r="FO225" s="5"/>
      <c r="FP225" s="5"/>
      <c r="FQ225" s="5"/>
      <c r="FR225" s="5"/>
      <c r="FS225" s="5"/>
      <c r="FT225" s="5"/>
      <c r="FU225" s="5"/>
      <c r="FV225" s="5"/>
      <c r="FW225" s="5"/>
      <c r="FX225" s="5"/>
      <c r="FY225" s="5"/>
      <c r="FZ225" s="5"/>
      <c r="GA225" s="5"/>
    </row>
    <row r="226" spans="1:183" ht="12" hidden="1">
      <c r="A226" s="156">
        <f t="shared" si="49"/>
        <v>1</v>
      </c>
      <c r="DD226" s="286" t="s">
        <v>215</v>
      </c>
      <c r="DE226" s="281"/>
      <c r="DF226" s="281"/>
      <c r="DG226" s="281"/>
      <c r="DH226" s="281"/>
      <c r="DI226" s="281"/>
      <c r="DJ226" s="281"/>
      <c r="DK226" s="281"/>
      <c r="DL226" s="281"/>
      <c r="DM226" s="281"/>
      <c r="DN226" s="281"/>
      <c r="DO226" s="383">
        <f>(1/3)*EC226</f>
        <v>0</v>
      </c>
      <c r="DP226" s="383"/>
      <c r="DQ226" s="584" t="str">
        <f t="shared" si="65"/>
        <v>B404</v>
      </c>
      <c r="DR226" s="584"/>
      <c r="DS226" s="279">
        <v>2</v>
      </c>
      <c r="DT226" s="584">
        <v>8908</v>
      </c>
      <c r="DU226" s="584"/>
      <c r="DV226" s="279">
        <v>8</v>
      </c>
      <c r="DW226" s="279">
        <v>2</v>
      </c>
      <c r="DX226" s="584">
        <v>1989</v>
      </c>
      <c r="DY226" s="584"/>
      <c r="DZ226" s="279">
        <v>2</v>
      </c>
      <c r="EA226" s="289">
        <f t="shared" si="77"/>
        <v>1</v>
      </c>
      <c r="EB226" s="289">
        <f t="shared" si="78"/>
        <v>0</v>
      </c>
      <c r="EC226" s="289">
        <f t="shared" si="66"/>
        <v>0</v>
      </c>
      <c r="ED226" s="693">
        <f>MID(DD226,2,4)*EC226</f>
        <v>0</v>
      </c>
      <c r="EE226" s="434"/>
      <c r="EF226" s="279">
        <f t="shared" si="68"/>
        <v>0</v>
      </c>
      <c r="EG226" s="434">
        <f t="shared" si="69"/>
        <v>0</v>
      </c>
      <c r="EH226" s="434"/>
      <c r="EI226" s="279">
        <f t="shared" si="70"/>
        <v>0</v>
      </c>
      <c r="EJ226" s="279">
        <f t="shared" si="71"/>
        <v>0</v>
      </c>
      <c r="EK226" s="434">
        <f t="shared" si="72"/>
        <v>0</v>
      </c>
      <c r="EL226" s="434"/>
      <c r="EM226" s="279">
        <f t="shared" si="73"/>
        <v>0</v>
      </c>
      <c r="EN226" s="434">
        <f>EC226*1111</f>
        <v>0</v>
      </c>
      <c r="EO226" s="434"/>
      <c r="EP226" s="434">
        <f t="shared" si="75"/>
        <v>0</v>
      </c>
      <c r="EQ226" s="434"/>
      <c r="ER226" s="385">
        <f t="shared" si="79"/>
        <v>0</v>
      </c>
      <c r="ES226" s="385"/>
      <c r="ET226" s="434">
        <f t="shared" si="76"/>
        <v>0</v>
      </c>
      <c r="EU226" s="434"/>
      <c r="EV226" s="82"/>
      <c r="EW226" s="82"/>
      <c r="EX226" s="82"/>
      <c r="EY226" s="82"/>
      <c r="EZ226" s="82"/>
      <c r="FA226" s="82"/>
      <c r="FB226" s="82"/>
      <c r="FC226" s="242"/>
      <c r="FD226" s="243"/>
      <c r="FE226" s="5"/>
      <c r="FF226" s="5"/>
      <c r="FG226" s="5"/>
      <c r="FH226" s="5"/>
      <c r="FI226" s="5"/>
      <c r="FJ226" s="5"/>
      <c r="FK226" s="5"/>
      <c r="FL226" s="5"/>
      <c r="FM226" s="5"/>
      <c r="FN226" s="5"/>
      <c r="FO226" s="5"/>
      <c r="FP226" s="5"/>
      <c r="FQ226" s="5"/>
      <c r="FR226" s="5"/>
      <c r="FS226" s="5"/>
      <c r="FT226" s="5"/>
      <c r="FU226" s="5"/>
      <c r="FV226" s="5"/>
      <c r="FW226" s="5"/>
      <c r="FX226" s="5"/>
      <c r="FY226" s="5"/>
      <c r="FZ226" s="5"/>
      <c r="GA226" s="5"/>
    </row>
    <row r="227" spans="1:183" ht="12" hidden="1">
      <c r="A227" s="156">
        <f t="shared" si="49"/>
        <v>1</v>
      </c>
      <c r="DD227" s="286" t="s">
        <v>14</v>
      </c>
      <c r="DE227" s="281"/>
      <c r="DF227" s="281"/>
      <c r="DG227" s="281"/>
      <c r="DH227" s="281"/>
      <c r="DI227" s="281"/>
      <c r="DJ227" s="281"/>
      <c r="DK227" s="281"/>
      <c r="DL227" s="281"/>
      <c r="DM227" s="281"/>
      <c r="DN227" s="281"/>
      <c r="DO227" s="281"/>
      <c r="DP227" s="281"/>
      <c r="DQ227" s="434"/>
      <c r="DR227" s="434"/>
      <c r="DS227" s="279"/>
      <c r="DT227" s="434"/>
      <c r="DU227" s="434"/>
      <c r="DV227" s="279"/>
      <c r="DW227" s="279"/>
      <c r="DX227" s="434"/>
      <c r="DY227" s="434"/>
      <c r="DZ227" s="279"/>
      <c r="EA227" s="289"/>
      <c r="EB227" s="289"/>
      <c r="EC227" s="289"/>
      <c r="ED227" s="434"/>
      <c r="EE227" s="434"/>
      <c r="EF227" s="279"/>
      <c r="EG227" s="434"/>
      <c r="EH227" s="434"/>
      <c r="EI227" s="279"/>
      <c r="EJ227" s="279"/>
      <c r="EK227" s="434"/>
      <c r="EL227" s="434"/>
      <c r="EM227" s="279"/>
      <c r="EN227" s="494"/>
      <c r="EO227" s="494"/>
      <c r="EP227" s="493"/>
      <c r="EQ227" s="493"/>
      <c r="ER227" s="385"/>
      <c r="ES227" s="385"/>
      <c r="ET227" s="434"/>
      <c r="EU227" s="434"/>
      <c r="EV227" s="82"/>
      <c r="EW227" s="82"/>
      <c r="EX227" s="82"/>
      <c r="EY227" s="82"/>
      <c r="EZ227" s="82"/>
      <c r="FA227" s="82"/>
      <c r="FB227" s="82"/>
      <c r="FC227" s="242"/>
      <c r="FD227" s="243"/>
      <c r="FE227" s="5"/>
      <c r="FF227" s="5"/>
      <c r="FG227" s="5"/>
      <c r="FH227" s="5"/>
      <c r="FI227" s="5"/>
      <c r="FJ227" s="5"/>
      <c r="FK227" s="5"/>
      <c r="FL227" s="5"/>
      <c r="FM227" s="5"/>
      <c r="FN227" s="5"/>
      <c r="FO227" s="5"/>
      <c r="FP227" s="5"/>
      <c r="FQ227" s="5"/>
      <c r="FR227" s="5"/>
      <c r="FS227" s="5"/>
      <c r="FT227" s="5"/>
      <c r="FU227" s="5"/>
      <c r="FV227" s="5"/>
      <c r="FW227" s="5"/>
      <c r="FX227" s="5"/>
      <c r="FY227" s="5"/>
      <c r="FZ227" s="5"/>
      <c r="GA227" s="5"/>
    </row>
    <row r="228" spans="1:183" ht="12" hidden="1">
      <c r="A228" s="156">
        <f t="shared" si="49"/>
        <v>1</v>
      </c>
      <c r="DD228" s="286" t="s">
        <v>14</v>
      </c>
      <c r="DE228" s="281"/>
      <c r="DF228" s="281"/>
      <c r="DG228" s="281"/>
      <c r="DH228" s="281"/>
      <c r="DI228" s="281"/>
      <c r="DJ228" s="281"/>
      <c r="DK228" s="281"/>
      <c r="DL228" s="281"/>
      <c r="DM228" s="281"/>
      <c r="DN228" s="281"/>
      <c r="DO228" s="281"/>
      <c r="DP228" s="281"/>
      <c r="DQ228" s="434"/>
      <c r="DR228" s="434"/>
      <c r="DS228" s="279"/>
      <c r="DT228" s="434"/>
      <c r="DU228" s="434"/>
      <c r="DV228" s="279"/>
      <c r="DW228" s="279"/>
      <c r="DX228" s="434"/>
      <c r="DY228" s="434"/>
      <c r="DZ228" s="279"/>
      <c r="EA228" s="289"/>
      <c r="EB228" s="289"/>
      <c r="EC228" s="289"/>
      <c r="ED228" s="434"/>
      <c r="EE228" s="434"/>
      <c r="EF228" s="279"/>
      <c r="EG228" s="434"/>
      <c r="EH228" s="434"/>
      <c r="EI228" s="279"/>
      <c r="EJ228" s="279"/>
      <c r="EK228" s="434"/>
      <c r="EL228" s="434"/>
      <c r="EM228" s="279"/>
      <c r="EN228" s="494"/>
      <c r="EO228" s="494"/>
      <c r="EP228" s="493"/>
      <c r="EQ228" s="493"/>
      <c r="ER228" s="385"/>
      <c r="ES228" s="385"/>
      <c r="ET228" s="434"/>
      <c r="EU228" s="434"/>
      <c r="EV228" s="82"/>
      <c r="EW228" s="82"/>
      <c r="EX228" s="82"/>
      <c r="EY228" s="82"/>
      <c r="EZ228" s="82"/>
      <c r="FA228" s="82"/>
      <c r="FB228" s="82"/>
      <c r="FC228" s="242"/>
      <c r="FD228" s="243"/>
      <c r="FI228" s="5"/>
      <c r="FJ228" s="5"/>
      <c r="FK228" s="5"/>
      <c r="FL228" s="5"/>
      <c r="FM228" s="5"/>
      <c r="FN228" s="5"/>
      <c r="FO228" s="5"/>
      <c r="FP228" s="5"/>
      <c r="FQ228" s="5"/>
      <c r="FR228" s="5"/>
      <c r="FS228" s="5"/>
      <c r="FT228" s="5"/>
      <c r="FU228" s="5"/>
      <c r="FV228" s="5"/>
      <c r="FW228" s="5"/>
      <c r="FX228" s="5"/>
      <c r="FY228" s="5"/>
      <c r="FZ228" s="5"/>
      <c r="GA228" s="5"/>
    </row>
    <row r="229" spans="1:184" ht="12" hidden="1">
      <c r="A229" s="156">
        <f t="shared" si="49"/>
        <v>1</v>
      </c>
      <c r="DD229" s="286" t="s">
        <v>14</v>
      </c>
      <c r="DE229" s="281"/>
      <c r="DF229" s="281"/>
      <c r="DG229" s="281"/>
      <c r="DH229" s="281"/>
      <c r="DI229" s="281"/>
      <c r="DJ229" s="281"/>
      <c r="DK229" s="281"/>
      <c r="DL229" s="281"/>
      <c r="DM229" s="281"/>
      <c r="DN229" s="281"/>
      <c r="DO229" s="281"/>
      <c r="DP229" s="281"/>
      <c r="DQ229" s="434"/>
      <c r="DR229" s="434"/>
      <c r="DS229" s="279"/>
      <c r="DT229" s="434"/>
      <c r="DU229" s="434"/>
      <c r="DV229" s="279"/>
      <c r="DW229" s="279"/>
      <c r="DX229" s="434"/>
      <c r="DY229" s="434"/>
      <c r="DZ229" s="279"/>
      <c r="EA229" s="289"/>
      <c r="EB229" s="289"/>
      <c r="EC229" s="289"/>
      <c r="ED229" s="434"/>
      <c r="EE229" s="434"/>
      <c r="EF229" s="279"/>
      <c r="EG229" s="434"/>
      <c r="EH229" s="434"/>
      <c r="EI229" s="279"/>
      <c r="EJ229" s="279"/>
      <c r="EK229" s="434"/>
      <c r="EL229" s="434"/>
      <c r="EM229" s="279"/>
      <c r="EN229" s="494"/>
      <c r="EO229" s="494"/>
      <c r="EP229" s="493"/>
      <c r="EQ229" s="493"/>
      <c r="ER229" s="385"/>
      <c r="ES229" s="385"/>
      <c r="ET229" s="434"/>
      <c r="EU229" s="434"/>
      <c r="EV229" s="82"/>
      <c r="EW229" s="82"/>
      <c r="EX229" s="82"/>
      <c r="EY229" s="82"/>
      <c r="EZ229" s="82"/>
      <c r="FA229" s="82"/>
      <c r="FB229" s="82"/>
      <c r="FC229" s="242"/>
      <c r="FD229" s="243"/>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row>
    <row r="230" spans="1:184" ht="12" hidden="1">
      <c r="A230" s="156">
        <f t="shared" si="49"/>
        <v>1</v>
      </c>
      <c r="DD230" s="286" t="s">
        <v>14</v>
      </c>
      <c r="DE230" s="281"/>
      <c r="DF230" s="281"/>
      <c r="DG230" s="281"/>
      <c r="DH230" s="281"/>
      <c r="DI230" s="281"/>
      <c r="DJ230" s="281"/>
      <c r="DK230" s="281"/>
      <c r="DL230" s="281"/>
      <c r="DM230" s="281"/>
      <c r="DN230" s="281"/>
      <c r="DO230" s="281"/>
      <c r="DP230" s="281"/>
      <c r="DQ230" s="434"/>
      <c r="DR230" s="434"/>
      <c r="DS230" s="279"/>
      <c r="DT230" s="434"/>
      <c r="DU230" s="434"/>
      <c r="DV230" s="279"/>
      <c r="DW230" s="279"/>
      <c r="DX230" s="434"/>
      <c r="DY230" s="434"/>
      <c r="DZ230" s="279"/>
      <c r="EA230" s="289"/>
      <c r="EB230" s="289"/>
      <c r="EC230" s="289"/>
      <c r="ED230" s="434"/>
      <c r="EE230" s="434"/>
      <c r="EF230" s="279"/>
      <c r="EG230" s="434"/>
      <c r="EH230" s="434"/>
      <c r="EI230" s="279"/>
      <c r="EJ230" s="279"/>
      <c r="EK230" s="434"/>
      <c r="EL230" s="434"/>
      <c r="EM230" s="279"/>
      <c r="EN230" s="494"/>
      <c r="EO230" s="494"/>
      <c r="EP230" s="493"/>
      <c r="EQ230" s="493"/>
      <c r="ER230" s="385"/>
      <c r="ES230" s="385"/>
      <c r="ET230" s="434"/>
      <c r="EU230" s="434"/>
      <c r="EV230" s="82"/>
      <c r="EW230" s="82"/>
      <c r="EX230" s="82"/>
      <c r="EY230" s="82"/>
      <c r="EZ230" s="82"/>
      <c r="FA230" s="82"/>
      <c r="FB230" s="82"/>
      <c r="FC230" s="242"/>
      <c r="FD230" s="243"/>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row>
    <row r="231" spans="1:184" ht="12" hidden="1">
      <c r="A231" s="156">
        <f t="shared" si="49"/>
        <v>1</v>
      </c>
      <c r="DD231" s="286" t="s">
        <v>14</v>
      </c>
      <c r="DE231" s="281"/>
      <c r="DF231" s="281"/>
      <c r="DG231" s="281"/>
      <c r="DH231" s="281"/>
      <c r="DI231" s="281"/>
      <c r="DJ231" s="281"/>
      <c r="DK231" s="281"/>
      <c r="DL231" s="281"/>
      <c r="DM231" s="281"/>
      <c r="DN231" s="281"/>
      <c r="DO231" s="281"/>
      <c r="DP231" s="281"/>
      <c r="DQ231" s="434"/>
      <c r="DR231" s="434"/>
      <c r="DS231" s="279"/>
      <c r="DT231" s="434"/>
      <c r="DU231" s="434"/>
      <c r="DV231" s="279"/>
      <c r="DW231" s="279"/>
      <c r="DX231" s="434"/>
      <c r="DY231" s="434"/>
      <c r="DZ231" s="279"/>
      <c r="EA231" s="289"/>
      <c r="EB231" s="289"/>
      <c r="EC231" s="289"/>
      <c r="ED231" s="434"/>
      <c r="EE231" s="434"/>
      <c r="EF231" s="279"/>
      <c r="EG231" s="434"/>
      <c r="EH231" s="434"/>
      <c r="EI231" s="279"/>
      <c r="EJ231" s="279"/>
      <c r="EK231" s="434"/>
      <c r="EL231" s="434"/>
      <c r="EM231" s="279"/>
      <c r="EN231" s="494"/>
      <c r="EO231" s="494"/>
      <c r="EP231" s="493"/>
      <c r="EQ231" s="493"/>
      <c r="ER231" s="385"/>
      <c r="ES231" s="385"/>
      <c r="ET231" s="434"/>
      <c r="EU231" s="434"/>
      <c r="EV231" s="82"/>
      <c r="EW231" s="82"/>
      <c r="EX231" s="82"/>
      <c r="EY231" s="82"/>
      <c r="EZ231" s="82"/>
      <c r="FA231" s="82"/>
      <c r="FB231" s="82"/>
      <c r="FC231" s="242"/>
      <c r="FD231" s="243"/>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row>
    <row r="232" spans="1:184" ht="12" hidden="1">
      <c r="A232" s="156">
        <f t="shared" si="49"/>
        <v>1</v>
      </c>
      <c r="DD232" s="286" t="s">
        <v>14</v>
      </c>
      <c r="DE232" s="281"/>
      <c r="DF232" s="281"/>
      <c r="DG232" s="281"/>
      <c r="DH232" s="281"/>
      <c r="DI232" s="281"/>
      <c r="DJ232" s="281"/>
      <c r="DK232" s="281"/>
      <c r="DL232" s="281"/>
      <c r="DM232" s="281"/>
      <c r="DN232" s="281"/>
      <c r="DO232" s="281"/>
      <c r="DP232" s="281"/>
      <c r="DQ232" s="434"/>
      <c r="DR232" s="434"/>
      <c r="DS232" s="279"/>
      <c r="DT232" s="434"/>
      <c r="DU232" s="434"/>
      <c r="DV232" s="279"/>
      <c r="DW232" s="279"/>
      <c r="DX232" s="434"/>
      <c r="DY232" s="434"/>
      <c r="DZ232" s="279"/>
      <c r="EA232" s="289"/>
      <c r="EB232" s="289"/>
      <c r="EC232" s="289"/>
      <c r="ED232" s="434"/>
      <c r="EE232" s="434"/>
      <c r="EF232" s="279"/>
      <c r="EG232" s="434"/>
      <c r="EH232" s="434"/>
      <c r="EI232" s="279"/>
      <c r="EJ232" s="279"/>
      <c r="EK232" s="434"/>
      <c r="EL232" s="434"/>
      <c r="EM232" s="279"/>
      <c r="EN232" s="494"/>
      <c r="EO232" s="494"/>
      <c r="EP232" s="493"/>
      <c r="EQ232" s="493"/>
      <c r="ER232" s="385"/>
      <c r="ES232" s="385"/>
      <c r="ET232" s="434"/>
      <c r="EU232" s="434"/>
      <c r="EV232" s="82"/>
      <c r="EW232" s="82"/>
      <c r="EX232" s="82"/>
      <c r="EY232" s="82"/>
      <c r="EZ232" s="82"/>
      <c r="FA232" s="82"/>
      <c r="FB232" s="82"/>
      <c r="FC232" s="242"/>
      <c r="FD232" s="243"/>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row>
    <row r="233" spans="1:184" ht="12" hidden="1">
      <c r="A233" s="156">
        <f t="shared" si="49"/>
        <v>1</v>
      </c>
      <c r="DD233" s="286" t="s">
        <v>14</v>
      </c>
      <c r="DE233" s="281"/>
      <c r="DF233" s="281"/>
      <c r="DG233" s="281"/>
      <c r="DH233" s="281"/>
      <c r="DI233" s="281"/>
      <c r="DJ233" s="281"/>
      <c r="DK233" s="281"/>
      <c r="DL233" s="281"/>
      <c r="DM233" s="281"/>
      <c r="DN233" s="281"/>
      <c r="DO233" s="281"/>
      <c r="DP233" s="281"/>
      <c r="DQ233" s="434"/>
      <c r="DR233" s="434"/>
      <c r="DS233" s="279"/>
      <c r="DT233" s="434"/>
      <c r="DU233" s="434"/>
      <c r="DV233" s="279"/>
      <c r="DW233" s="279"/>
      <c r="DX233" s="434"/>
      <c r="DY233" s="434"/>
      <c r="DZ233" s="279"/>
      <c r="EA233" s="289"/>
      <c r="EB233" s="289"/>
      <c r="EC233" s="289"/>
      <c r="ED233" s="434"/>
      <c r="EE233" s="434"/>
      <c r="EF233" s="279"/>
      <c r="EG233" s="434"/>
      <c r="EH233" s="434"/>
      <c r="EI233" s="279"/>
      <c r="EJ233" s="279"/>
      <c r="EK233" s="434"/>
      <c r="EL233" s="434"/>
      <c r="EM233" s="279"/>
      <c r="EN233" s="494"/>
      <c r="EO233" s="494"/>
      <c r="EP233" s="493"/>
      <c r="EQ233" s="493"/>
      <c r="ER233" s="385"/>
      <c r="ES233" s="385"/>
      <c r="ET233" s="434"/>
      <c r="EU233" s="434"/>
      <c r="EV233" s="82"/>
      <c r="EW233" s="82"/>
      <c r="EX233" s="82"/>
      <c r="EY233" s="82"/>
      <c r="EZ233" s="82"/>
      <c r="FA233" s="82"/>
      <c r="FB233" s="82"/>
      <c r="FC233" s="242"/>
      <c r="FD233" s="243"/>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row>
    <row r="234" spans="1:184" ht="12" hidden="1">
      <c r="A234" s="156">
        <f aca="true" t="shared" si="80" ref="A234:A297">A233</f>
        <v>1</v>
      </c>
      <c r="DD234" s="286" t="s">
        <v>14</v>
      </c>
      <c r="DE234" s="281"/>
      <c r="DF234" s="281"/>
      <c r="DG234" s="281"/>
      <c r="DH234" s="281"/>
      <c r="DI234" s="281"/>
      <c r="DJ234" s="281"/>
      <c r="DK234" s="281"/>
      <c r="DL234" s="281"/>
      <c r="DM234" s="281"/>
      <c r="DN234" s="281"/>
      <c r="DO234" s="281"/>
      <c r="DP234" s="281"/>
      <c r="DQ234" s="434"/>
      <c r="DR234" s="434"/>
      <c r="DS234" s="279"/>
      <c r="DT234" s="434"/>
      <c r="DU234" s="434"/>
      <c r="DV234" s="279"/>
      <c r="DW234" s="279"/>
      <c r="DX234" s="434"/>
      <c r="DY234" s="434"/>
      <c r="DZ234" s="279"/>
      <c r="EA234" s="289"/>
      <c r="EB234" s="289"/>
      <c r="EC234" s="289"/>
      <c r="ED234" s="434"/>
      <c r="EE234" s="434"/>
      <c r="EF234" s="279"/>
      <c r="EG234" s="434"/>
      <c r="EH234" s="434"/>
      <c r="EI234" s="279"/>
      <c r="EJ234" s="279"/>
      <c r="EK234" s="434"/>
      <c r="EL234" s="434"/>
      <c r="EM234" s="279"/>
      <c r="EN234" s="494"/>
      <c r="EO234" s="494"/>
      <c r="EP234" s="493"/>
      <c r="EQ234" s="493"/>
      <c r="ER234" s="385"/>
      <c r="ES234" s="385"/>
      <c r="ET234" s="434"/>
      <c r="EU234" s="434"/>
      <c r="EV234" s="82"/>
      <c r="EW234" s="82"/>
      <c r="EX234" s="82"/>
      <c r="EY234" s="82"/>
      <c r="EZ234" s="82"/>
      <c r="FA234" s="82"/>
      <c r="FB234" s="82"/>
      <c r="FC234" s="242"/>
      <c r="FD234" s="243"/>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row>
    <row r="235" spans="1:184" ht="12" hidden="1">
      <c r="A235" s="156">
        <f t="shared" si="80"/>
        <v>1</v>
      </c>
      <c r="DD235" s="286" t="s">
        <v>14</v>
      </c>
      <c r="DE235" s="281"/>
      <c r="DF235" s="281"/>
      <c r="DG235" s="281"/>
      <c r="DH235" s="281"/>
      <c r="DI235" s="281"/>
      <c r="DJ235" s="281"/>
      <c r="DK235" s="281"/>
      <c r="DL235" s="281"/>
      <c r="DM235" s="281"/>
      <c r="DN235" s="281"/>
      <c r="DO235" s="281"/>
      <c r="DP235" s="281"/>
      <c r="DQ235" s="434"/>
      <c r="DR235" s="434"/>
      <c r="DS235" s="279"/>
      <c r="DT235" s="434"/>
      <c r="DU235" s="434"/>
      <c r="DV235" s="279"/>
      <c r="DW235" s="279"/>
      <c r="DX235" s="434"/>
      <c r="DY235" s="434"/>
      <c r="DZ235" s="279"/>
      <c r="EA235" s="289"/>
      <c r="EB235" s="289"/>
      <c r="EC235" s="289"/>
      <c r="ED235" s="434"/>
      <c r="EE235" s="434"/>
      <c r="EF235" s="279"/>
      <c r="EG235" s="434"/>
      <c r="EH235" s="434"/>
      <c r="EI235" s="279"/>
      <c r="EJ235" s="279"/>
      <c r="EK235" s="434"/>
      <c r="EL235" s="434"/>
      <c r="EM235" s="279"/>
      <c r="EN235" s="494"/>
      <c r="EO235" s="494"/>
      <c r="EP235" s="493"/>
      <c r="EQ235" s="493"/>
      <c r="ER235" s="385"/>
      <c r="ES235" s="385"/>
      <c r="ET235" s="434"/>
      <c r="EU235" s="434"/>
      <c r="EV235" s="82"/>
      <c r="EW235" s="82"/>
      <c r="EX235" s="82"/>
      <c r="EY235" s="82"/>
      <c r="EZ235" s="82"/>
      <c r="FA235" s="82"/>
      <c r="FB235" s="82"/>
      <c r="FC235" s="242"/>
      <c r="FD235" s="243"/>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row>
    <row r="236" spans="1:184" ht="12" hidden="1">
      <c r="A236" s="156">
        <f t="shared" si="80"/>
        <v>1</v>
      </c>
      <c r="DD236" s="286" t="s">
        <v>14</v>
      </c>
      <c r="DE236" s="281"/>
      <c r="DF236" s="281"/>
      <c r="DG236" s="281"/>
      <c r="DH236" s="281"/>
      <c r="DI236" s="281"/>
      <c r="DJ236" s="281"/>
      <c r="DK236" s="281"/>
      <c r="DL236" s="281"/>
      <c r="DM236" s="281"/>
      <c r="DN236" s="281"/>
      <c r="DO236" s="281"/>
      <c r="DP236" s="281"/>
      <c r="DQ236" s="584"/>
      <c r="DR236" s="584"/>
      <c r="DS236" s="287"/>
      <c r="DT236" s="584"/>
      <c r="DU236" s="584"/>
      <c r="DV236" s="287"/>
      <c r="DW236" s="287"/>
      <c r="DX236" s="584"/>
      <c r="DY236" s="584"/>
      <c r="DZ236" s="287"/>
      <c r="EA236" s="289"/>
      <c r="EB236" s="289"/>
      <c r="EC236" s="289"/>
      <c r="ED236" s="584"/>
      <c r="EE236" s="584"/>
      <c r="EF236" s="287"/>
      <c r="EG236" s="584"/>
      <c r="EH236" s="584"/>
      <c r="EI236" s="287"/>
      <c r="EJ236" s="287"/>
      <c r="EK236" s="584"/>
      <c r="EL236" s="584"/>
      <c r="EM236" s="287"/>
      <c r="EN236" s="494"/>
      <c r="EO236" s="494"/>
      <c r="EP236" s="494"/>
      <c r="EQ236" s="494"/>
      <c r="ER236" s="385"/>
      <c r="ES236" s="385"/>
      <c r="ET236" s="434"/>
      <c r="EU236" s="434"/>
      <c r="EV236" s="82"/>
      <c r="EW236" s="82"/>
      <c r="EX236" s="82"/>
      <c r="EY236" s="82"/>
      <c r="EZ236" s="82"/>
      <c r="FA236" s="82"/>
      <c r="FB236" s="82"/>
      <c r="FC236" s="242"/>
      <c r="FD236" s="243"/>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row>
    <row r="237" spans="1:184" ht="12" hidden="1">
      <c r="A237" s="156">
        <f t="shared" si="80"/>
        <v>1</v>
      </c>
      <c r="DD237" s="286" t="s">
        <v>14</v>
      </c>
      <c r="DE237" s="281"/>
      <c r="DF237" s="281"/>
      <c r="DG237" s="281"/>
      <c r="DH237" s="281"/>
      <c r="DI237" s="281"/>
      <c r="DJ237" s="281"/>
      <c r="DK237" s="281"/>
      <c r="DL237" s="281"/>
      <c r="DM237" s="281"/>
      <c r="DN237" s="281"/>
      <c r="DO237" s="281"/>
      <c r="DP237" s="281"/>
      <c r="DQ237" s="584"/>
      <c r="DR237" s="584"/>
      <c r="DS237" s="287"/>
      <c r="DT237" s="584"/>
      <c r="DU237" s="584"/>
      <c r="DV237" s="287"/>
      <c r="DW237" s="287"/>
      <c r="DX237" s="584"/>
      <c r="DY237" s="584"/>
      <c r="DZ237" s="287"/>
      <c r="EA237" s="290"/>
      <c r="EB237" s="290"/>
      <c r="EC237" s="290"/>
      <c r="ED237" s="584"/>
      <c r="EE237" s="584"/>
      <c r="EF237" s="287"/>
      <c r="EG237" s="584"/>
      <c r="EH237" s="584"/>
      <c r="EI237" s="287"/>
      <c r="EJ237" s="287"/>
      <c r="EK237" s="584"/>
      <c r="EL237" s="584"/>
      <c r="EM237" s="287"/>
      <c r="EN237" s="494"/>
      <c r="EO237" s="494"/>
      <c r="EP237" s="494"/>
      <c r="EQ237" s="494"/>
      <c r="ER237" s="385"/>
      <c r="ES237" s="385"/>
      <c r="ET237" s="434"/>
      <c r="EU237" s="434"/>
      <c r="EV237" s="82"/>
      <c r="EW237" s="82"/>
      <c r="EX237" s="82"/>
      <c r="EY237" s="82"/>
      <c r="EZ237" s="82"/>
      <c r="FA237" s="82"/>
      <c r="FB237" s="82"/>
      <c r="FC237" s="242"/>
      <c r="FD237" s="243"/>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row>
    <row r="238" spans="1:184" ht="12" hidden="1">
      <c r="A238" s="156">
        <f t="shared" si="80"/>
        <v>1</v>
      </c>
      <c r="DD238" s="286" t="s">
        <v>14</v>
      </c>
      <c r="DE238" s="281"/>
      <c r="DF238" s="281"/>
      <c r="DG238" s="281"/>
      <c r="DH238" s="281"/>
      <c r="DI238" s="281"/>
      <c r="DJ238" s="281"/>
      <c r="DK238" s="281"/>
      <c r="DL238" s="281"/>
      <c r="DM238" s="281"/>
      <c r="DN238" s="281"/>
      <c r="DO238" s="281"/>
      <c r="DP238" s="281"/>
      <c r="DQ238" s="584"/>
      <c r="DR238" s="584"/>
      <c r="DS238" s="287"/>
      <c r="DT238" s="584"/>
      <c r="DU238" s="584"/>
      <c r="DV238" s="287"/>
      <c r="DW238" s="287"/>
      <c r="DX238" s="584"/>
      <c r="DY238" s="584"/>
      <c r="DZ238" s="287"/>
      <c r="EA238" s="290"/>
      <c r="EB238" s="290"/>
      <c r="EC238" s="290"/>
      <c r="ED238" s="584"/>
      <c r="EE238" s="584"/>
      <c r="EF238" s="287"/>
      <c r="EG238" s="584"/>
      <c r="EH238" s="584"/>
      <c r="EI238" s="287"/>
      <c r="EJ238" s="287"/>
      <c r="EK238" s="584"/>
      <c r="EL238" s="584"/>
      <c r="EM238" s="287"/>
      <c r="EN238" s="494"/>
      <c r="EO238" s="494"/>
      <c r="EP238" s="494"/>
      <c r="EQ238" s="494"/>
      <c r="ER238" s="385"/>
      <c r="ES238" s="385"/>
      <c r="ET238" s="434"/>
      <c r="EU238" s="434"/>
      <c r="EV238" s="82"/>
      <c r="EW238" s="82"/>
      <c r="EX238" s="82"/>
      <c r="EY238" s="82"/>
      <c r="EZ238" s="82"/>
      <c r="FA238" s="82"/>
      <c r="FB238" s="82"/>
      <c r="FC238" s="242"/>
      <c r="FD238" s="243"/>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row>
    <row r="239" spans="1:184" ht="12" hidden="1">
      <c r="A239" s="156">
        <f t="shared" si="80"/>
        <v>1</v>
      </c>
      <c r="DD239" s="286" t="s">
        <v>14</v>
      </c>
      <c r="DE239" s="281"/>
      <c r="DF239" s="281"/>
      <c r="DG239" s="281"/>
      <c r="DH239" s="281"/>
      <c r="DI239" s="281"/>
      <c r="DJ239" s="281"/>
      <c r="DK239" s="281"/>
      <c r="DL239" s="281"/>
      <c r="DM239" s="281"/>
      <c r="DN239" s="281"/>
      <c r="DO239" s="281"/>
      <c r="DP239" s="281"/>
      <c r="DQ239" s="584"/>
      <c r="DR239" s="584"/>
      <c r="DS239" s="287"/>
      <c r="DT239" s="584"/>
      <c r="DU239" s="584"/>
      <c r="DV239" s="287"/>
      <c r="DW239" s="287"/>
      <c r="DX239" s="584"/>
      <c r="DY239" s="584"/>
      <c r="DZ239" s="287"/>
      <c r="EA239" s="290"/>
      <c r="EB239" s="290"/>
      <c r="EC239" s="290"/>
      <c r="ED239" s="584"/>
      <c r="EE239" s="584"/>
      <c r="EF239" s="287"/>
      <c r="EG239" s="584"/>
      <c r="EH239" s="584"/>
      <c r="EI239" s="287"/>
      <c r="EJ239" s="287"/>
      <c r="EK239" s="584"/>
      <c r="EL239" s="584"/>
      <c r="EM239" s="287"/>
      <c r="EN239" s="494"/>
      <c r="EO239" s="494"/>
      <c r="EP239" s="494"/>
      <c r="EQ239" s="494"/>
      <c r="ER239" s="385"/>
      <c r="ES239" s="385"/>
      <c r="ET239" s="434"/>
      <c r="EU239" s="434"/>
      <c r="EV239" s="82"/>
      <c r="EW239" s="82"/>
      <c r="EX239" s="82"/>
      <c r="EY239" s="82"/>
      <c r="EZ239" s="82"/>
      <c r="FA239" s="82"/>
      <c r="FB239" s="82"/>
      <c r="FC239" s="242"/>
      <c r="FD239" s="243"/>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row>
    <row r="240" spans="1:199" ht="12" hidden="1">
      <c r="A240" s="156">
        <f t="shared" si="80"/>
        <v>1</v>
      </c>
      <c r="DD240" s="286" t="s">
        <v>14</v>
      </c>
      <c r="DE240" s="281"/>
      <c r="DF240" s="281"/>
      <c r="DG240" s="281"/>
      <c r="DH240" s="281"/>
      <c r="DI240" s="281"/>
      <c r="DJ240" s="281"/>
      <c r="DK240" s="281"/>
      <c r="DL240" s="281"/>
      <c r="DM240" s="281"/>
      <c r="DN240" s="281"/>
      <c r="DO240" s="281"/>
      <c r="DP240" s="281"/>
      <c r="DQ240" s="584"/>
      <c r="DR240" s="584"/>
      <c r="DS240" s="287"/>
      <c r="DT240" s="584"/>
      <c r="DU240" s="584"/>
      <c r="DV240" s="287"/>
      <c r="DW240" s="287"/>
      <c r="DX240" s="584"/>
      <c r="DY240" s="584"/>
      <c r="DZ240" s="287"/>
      <c r="EA240" s="290"/>
      <c r="EB240" s="290"/>
      <c r="EC240" s="290"/>
      <c r="ED240" s="584"/>
      <c r="EE240" s="584"/>
      <c r="EF240" s="287"/>
      <c r="EG240" s="584"/>
      <c r="EH240" s="584"/>
      <c r="EI240" s="287"/>
      <c r="EJ240" s="287"/>
      <c r="EK240" s="584"/>
      <c r="EL240" s="584"/>
      <c r="EM240" s="287"/>
      <c r="EN240" s="494"/>
      <c r="EO240" s="494"/>
      <c r="EP240" s="494"/>
      <c r="EQ240" s="494"/>
      <c r="ER240" s="385"/>
      <c r="ES240" s="385"/>
      <c r="ET240" s="434"/>
      <c r="EU240" s="434"/>
      <c r="EV240" s="82"/>
      <c r="EW240" s="82"/>
      <c r="EX240" s="82"/>
      <c r="EY240" s="82"/>
      <c r="EZ240" s="82"/>
      <c r="FA240" s="82"/>
      <c r="FB240" s="82"/>
      <c r="FC240" s="242"/>
      <c r="FD240" s="243"/>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224" t="s">
        <v>87</v>
      </c>
      <c r="GE240" s="224">
        <f>MOD(YEAR(GB248),19)</f>
        <v>0</v>
      </c>
      <c r="GF240" s="227">
        <f>IF(GE240&gt;10,1,0)</f>
        <v>0</v>
      </c>
      <c r="GG240" s="5"/>
      <c r="GH240" s="5"/>
      <c r="GI240" s="5"/>
      <c r="GJ240" s="5"/>
      <c r="GK240" s="5"/>
      <c r="GL240" s="5"/>
      <c r="GM240" s="5"/>
      <c r="GN240" s="5"/>
      <c r="GO240" s="5"/>
      <c r="GP240" s="5"/>
      <c r="GQ240" s="5"/>
    </row>
    <row r="241" spans="1:199" ht="12" hidden="1">
      <c r="A241" s="156">
        <f t="shared" si="80"/>
        <v>1</v>
      </c>
      <c r="DD241" s="286" t="s">
        <v>14</v>
      </c>
      <c r="DE241" s="281"/>
      <c r="DF241" s="281"/>
      <c r="DG241" s="281"/>
      <c r="DH241" s="281"/>
      <c r="DI241" s="281"/>
      <c r="DJ241" s="281"/>
      <c r="DK241" s="281"/>
      <c r="DL241" s="281"/>
      <c r="DM241" s="281"/>
      <c r="DN241" s="281"/>
      <c r="DO241" s="281"/>
      <c r="DP241" s="281"/>
      <c r="DQ241" s="671"/>
      <c r="DR241" s="671"/>
      <c r="DS241" s="288"/>
      <c r="DT241" s="671"/>
      <c r="DU241" s="671"/>
      <c r="DV241" s="288"/>
      <c r="DW241" s="288"/>
      <c r="DX241" s="671"/>
      <c r="DY241" s="671"/>
      <c r="DZ241" s="288"/>
      <c r="EA241" s="291"/>
      <c r="EB241" s="291"/>
      <c r="EC241" s="291"/>
      <c r="ED241" s="671"/>
      <c r="EE241" s="671"/>
      <c r="EF241" s="288"/>
      <c r="EG241" s="671"/>
      <c r="EH241" s="671"/>
      <c r="EI241" s="288"/>
      <c r="EJ241" s="288"/>
      <c r="EK241" s="671"/>
      <c r="EL241" s="671"/>
      <c r="EM241" s="288"/>
      <c r="EN241" s="694"/>
      <c r="EO241" s="694"/>
      <c r="EP241" s="694"/>
      <c r="EQ241" s="694"/>
      <c r="ER241" s="385"/>
      <c r="ES241" s="385"/>
      <c r="ET241" s="671"/>
      <c r="EU241" s="671"/>
      <c r="EV241" s="164"/>
      <c r="EW241" s="164"/>
      <c r="EX241" s="164"/>
      <c r="EY241" s="164"/>
      <c r="EZ241" s="164"/>
      <c r="FA241" s="164"/>
      <c r="FB241" s="164"/>
      <c r="FC241" s="242"/>
      <c r="FD241" s="243"/>
      <c r="FE241" s="5"/>
      <c r="FF241" s="5">
        <f>IF(ET242=EV210,1,0)</f>
        <v>0</v>
      </c>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224" t="s">
        <v>89</v>
      </c>
      <c r="GE241" s="224">
        <f>MOD(YEAR(GB248),4)</f>
        <v>0</v>
      </c>
      <c r="GF241" s="228"/>
      <c r="GG241" s="5"/>
      <c r="GH241" s="5"/>
      <c r="GI241" s="5"/>
      <c r="GJ241" s="5"/>
      <c r="GK241" s="5"/>
      <c r="GL241" s="5"/>
      <c r="GM241" s="5"/>
      <c r="GN241" s="5"/>
      <c r="GO241" s="5"/>
      <c r="GP241" s="5"/>
      <c r="GQ241" s="5"/>
    </row>
    <row r="242" spans="1:199" ht="12" hidden="1">
      <c r="A242" s="156">
        <f t="shared" si="80"/>
        <v>1</v>
      </c>
      <c r="DD242" s="292"/>
      <c r="DE242" s="292"/>
      <c r="DF242" s="292"/>
      <c r="DG242" s="292"/>
      <c r="DH242" s="292"/>
      <c r="DI242" s="292"/>
      <c r="DJ242" s="292"/>
      <c r="DK242" s="292"/>
      <c r="DL242" s="292"/>
      <c r="DM242" s="292"/>
      <c r="DN242" s="292"/>
      <c r="DO242" s="292"/>
      <c r="DP242" s="292"/>
      <c r="DQ242" s="434"/>
      <c r="DR242" s="434"/>
      <c r="DS242" s="279"/>
      <c r="DT242" s="434"/>
      <c r="DU242" s="434"/>
      <c r="DV242" s="279"/>
      <c r="DW242" s="279"/>
      <c r="DX242" s="434"/>
      <c r="DY242" s="434"/>
      <c r="DZ242" s="279"/>
      <c r="EA242" s="289"/>
      <c r="EB242" s="289"/>
      <c r="EC242" s="289"/>
      <c r="ED242" s="434"/>
      <c r="EE242" s="434"/>
      <c r="EF242" s="279"/>
      <c r="EG242" s="434"/>
      <c r="EH242" s="434"/>
      <c r="EI242" s="279"/>
      <c r="EJ242" s="279"/>
      <c r="EK242" s="434"/>
      <c r="EL242" s="434"/>
      <c r="EM242" s="279"/>
      <c r="EN242" s="494"/>
      <c r="EO242" s="494"/>
      <c r="EP242" s="493"/>
      <c r="EQ242" s="493"/>
      <c r="ER242" s="387">
        <f>ER208</f>
        <v>43858</v>
      </c>
      <c r="ES242" s="388"/>
      <c r="ET242" s="434">
        <f>SUM(ET212:EU241)</f>
        <v>0</v>
      </c>
      <c r="EU242" s="434"/>
      <c r="EV242" s="434">
        <f>IF(ER242="",0,IF(ET242=0,0,IF(ET242&lt;EV210,FE212,IF(ET242=EV210,IF(ER242&gt;FE218,FE212,FE213),0))))</f>
        <v>0</v>
      </c>
      <c r="EW242" s="434"/>
      <c r="EX242" s="434">
        <f>IF(ER242="",0,IF(ET242=EX210,IF(ER242&gt;FE218,FE213,FE214),0))</f>
        <v>0</v>
      </c>
      <c r="EY242" s="434"/>
      <c r="EZ242" s="434">
        <f>IF(ER242="",0,IF(ET242=EZ210,IF(ER242&gt;FE217,FE214,0),0))</f>
        <v>0</v>
      </c>
      <c r="FA242" s="434"/>
      <c r="FB242" s="279">
        <f>SUM(EV242:FA242)</f>
        <v>0</v>
      </c>
      <c r="FC242" s="242"/>
      <c r="FD242" s="243"/>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224" t="s">
        <v>91</v>
      </c>
      <c r="GE242" s="224">
        <f>MOD(YEAR(GB248),7)</f>
        <v>3</v>
      </c>
      <c r="GF242" s="228"/>
      <c r="GG242" s="5"/>
      <c r="GH242" s="5"/>
      <c r="GI242" s="5"/>
      <c r="GJ242" s="5"/>
      <c r="GK242" s="5"/>
      <c r="GL242" s="5"/>
      <c r="GM242" s="5"/>
      <c r="GN242" s="5"/>
      <c r="GO242" s="5"/>
      <c r="GP242" s="5"/>
      <c r="GQ242" s="5"/>
    </row>
    <row r="243" spans="1:199" ht="12" hidden="1">
      <c r="A243" s="156">
        <f t="shared" si="80"/>
        <v>1</v>
      </c>
      <c r="DD243" s="5"/>
      <c r="DE243" s="5"/>
      <c r="DF243" s="5"/>
      <c r="DG243" s="5"/>
      <c r="DH243" s="5"/>
      <c r="DI243" s="5"/>
      <c r="DJ243" s="5"/>
      <c r="DK243" s="5"/>
      <c r="DL243" s="5"/>
      <c r="DM243" s="5"/>
      <c r="DN243" s="5"/>
      <c r="DO243" s="5"/>
      <c r="DP243" s="5"/>
      <c r="DQ243" s="5"/>
      <c r="DR243" s="5"/>
      <c r="DS243" s="5"/>
      <c r="DT243" s="4"/>
      <c r="DU243" s="4"/>
      <c r="DV243" s="4"/>
      <c r="DW243" s="4"/>
      <c r="DX243" s="4"/>
      <c r="DY243" s="4"/>
      <c r="DZ243" s="4"/>
      <c r="EA243" s="4"/>
      <c r="EB243" s="4"/>
      <c r="EC243" s="4"/>
      <c r="ED243" s="4"/>
      <c r="EE243" s="4"/>
      <c r="EF243" s="4"/>
      <c r="EG243" s="4"/>
      <c r="EH243" s="5"/>
      <c r="EI243" s="5"/>
      <c r="EJ243" s="5"/>
      <c r="EK243" s="5"/>
      <c r="EL243" s="5"/>
      <c r="EM243" s="5"/>
      <c r="EN243" s="5"/>
      <c r="EO243" s="5"/>
      <c r="EP243" s="5"/>
      <c r="EQ243" s="5"/>
      <c r="ER243" s="5"/>
      <c r="ES243" s="5"/>
      <c r="ET243" s="5"/>
      <c r="EU243" s="5"/>
      <c r="EV243" s="5"/>
      <c r="EW243" s="5"/>
      <c r="EX243" s="5"/>
      <c r="EY243" s="5"/>
      <c r="EZ243" s="5"/>
      <c r="FA243" s="5"/>
      <c r="FB243" s="5"/>
      <c r="FC243" s="242"/>
      <c r="FD243" s="243"/>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224" t="s">
        <v>93</v>
      </c>
      <c r="GE243" s="224">
        <f>MOD(19*GE240+24,30)</f>
        <v>24</v>
      </c>
      <c r="GF243" s="228">
        <f>IF(GE243=28,1,0)</f>
        <v>0</v>
      </c>
      <c r="GG243" s="5"/>
      <c r="GH243" s="5"/>
      <c r="GI243" s="5"/>
      <c r="GJ243" s="5"/>
      <c r="GK243" s="5"/>
      <c r="GL243" s="5"/>
      <c r="GM243" s="5"/>
      <c r="GN243" s="5"/>
      <c r="GO243" s="5"/>
      <c r="GP243" s="5"/>
      <c r="GQ243" s="5"/>
    </row>
    <row r="244" spans="1:199" ht="12" hidden="1">
      <c r="A244" s="156">
        <f t="shared" si="80"/>
        <v>1</v>
      </c>
      <c r="DD244" s="124" t="str">
        <f>P112</f>
        <v>RATE 36bis/36ter, CCIAA, CCGG, RIVAL.PARTEC./TERRENI</v>
      </c>
      <c r="DE244" s="125"/>
      <c r="DF244" s="125"/>
      <c r="DG244" s="125"/>
      <c r="DH244" s="125"/>
      <c r="DI244" s="125"/>
      <c r="DJ244" s="125"/>
      <c r="DK244" s="125"/>
      <c r="DL244" s="125"/>
      <c r="DM244" s="125"/>
      <c r="DN244" s="125"/>
      <c r="DO244" s="125"/>
      <c r="DP244" s="126"/>
      <c r="DQ244" s="397" t="s">
        <v>32</v>
      </c>
      <c r="DR244" s="397"/>
      <c r="DS244" s="52" t="s">
        <v>33</v>
      </c>
      <c r="DT244" s="397" t="s">
        <v>34</v>
      </c>
      <c r="DU244" s="397"/>
      <c r="DV244" s="52" t="s">
        <v>48</v>
      </c>
      <c r="DW244" s="52" t="s">
        <v>33</v>
      </c>
      <c r="DX244" s="397" t="s">
        <v>36</v>
      </c>
      <c r="DY244" s="397"/>
      <c r="DZ244" s="52" t="s">
        <v>33</v>
      </c>
      <c r="EA244" s="4" t="s">
        <v>49</v>
      </c>
      <c r="EB244" s="81"/>
      <c r="EC244" s="4" t="s">
        <v>49</v>
      </c>
      <c r="ED244" s="397" t="s">
        <v>32</v>
      </c>
      <c r="EE244" s="397"/>
      <c r="EF244" s="52" t="s">
        <v>33</v>
      </c>
      <c r="EG244" s="397" t="s">
        <v>34</v>
      </c>
      <c r="EH244" s="397"/>
      <c r="EI244" s="52" t="s">
        <v>35</v>
      </c>
      <c r="EJ244" s="52" t="s">
        <v>33</v>
      </c>
      <c r="EK244" s="397" t="s">
        <v>36</v>
      </c>
      <c r="EL244" s="397"/>
      <c r="EM244" s="52" t="s">
        <v>33</v>
      </c>
      <c r="EN244" s="397" t="s">
        <v>37</v>
      </c>
      <c r="EO244" s="397"/>
      <c r="EP244" s="397" t="s">
        <v>38</v>
      </c>
      <c r="EQ244" s="397"/>
      <c r="ER244" s="397" t="s">
        <v>38</v>
      </c>
      <c r="ES244" s="397"/>
      <c r="ET244" s="397" t="s">
        <v>38</v>
      </c>
      <c r="EU244" s="397"/>
      <c r="EV244" s="395">
        <f>EX244-1</f>
        <v>2018</v>
      </c>
      <c r="EW244" s="395"/>
      <c r="EX244" s="395">
        <f>EZ244-1</f>
        <v>2019</v>
      </c>
      <c r="EY244" s="395"/>
      <c r="EZ244" s="395">
        <f>EZ176</f>
        <v>2020</v>
      </c>
      <c r="FA244" s="395"/>
      <c r="FB244" s="52" t="s">
        <v>39</v>
      </c>
      <c r="FC244" s="242"/>
      <c r="FD244" s="243"/>
      <c r="FE244" s="178">
        <f>DAY(X13)</f>
        <v>0</v>
      </c>
      <c r="FF244" s="178">
        <f>MONTH(X13)</f>
        <v>1</v>
      </c>
      <c r="FG244" s="673">
        <f>YEAR(X13)</f>
        <v>1900</v>
      </c>
      <c r="FH244" s="673"/>
      <c r="FK244" s="394">
        <f>DATE(FG244,FF244+3,FE244)</f>
        <v>91</v>
      </c>
      <c r="FL244" s="394"/>
      <c r="FM244" s="394"/>
      <c r="FN244" s="394"/>
      <c r="FO244" s="5"/>
      <c r="FP244" s="5"/>
      <c r="FQ244" s="5"/>
      <c r="FR244" s="5"/>
      <c r="FS244" s="5"/>
      <c r="FT244" s="5"/>
      <c r="FU244" s="5"/>
      <c r="FV244" s="5"/>
      <c r="FW244" s="5"/>
      <c r="FX244" s="5"/>
      <c r="FY244" s="5"/>
      <c r="FZ244" s="5"/>
      <c r="GA244" s="5"/>
      <c r="GB244" s="5"/>
      <c r="GC244" s="5"/>
      <c r="GD244" s="224" t="s">
        <v>94</v>
      </c>
      <c r="GE244" s="224">
        <f>MOD(2*GE241+4*GE242+6*GE243+5,7)</f>
        <v>0</v>
      </c>
      <c r="GF244" s="228">
        <f>IF(GE244=6,1,0)</f>
        <v>0</v>
      </c>
      <c r="GG244" s="5"/>
      <c r="GH244" s="5"/>
      <c r="GI244" s="5"/>
      <c r="GJ244" s="5"/>
      <c r="GK244" s="5"/>
      <c r="GL244" s="5"/>
      <c r="GM244" s="5"/>
      <c r="GN244" s="5"/>
      <c r="GO244" s="5"/>
      <c r="GP244" s="5"/>
      <c r="GQ244" s="5"/>
    </row>
    <row r="245" spans="1:199" ht="12" hidden="1">
      <c r="A245" s="156">
        <f t="shared" si="80"/>
        <v>1</v>
      </c>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5"/>
      <c r="EO245" s="5"/>
      <c r="EP245" s="5"/>
      <c r="EQ245" s="5"/>
      <c r="ER245" s="5"/>
      <c r="ES245" s="5"/>
      <c r="ET245" s="5"/>
      <c r="EU245" s="5"/>
      <c r="EV245" s="5"/>
      <c r="EW245" s="5"/>
      <c r="EX245" s="5"/>
      <c r="EY245" s="5"/>
      <c r="EZ245" s="5"/>
      <c r="FA245" s="5"/>
      <c r="FB245" s="5"/>
      <c r="FC245" s="242"/>
      <c r="FD245" s="243"/>
      <c r="FE245" s="5"/>
      <c r="FF245" s="5"/>
      <c r="FK245" s="5">
        <f>DAY(FK244)</f>
        <v>31</v>
      </c>
      <c r="FL245" s="5">
        <f>MONTH(FK244)</f>
        <v>3</v>
      </c>
      <c r="FM245" s="446">
        <f>YEAR(FK244)</f>
        <v>1900</v>
      </c>
      <c r="FN245" s="446"/>
      <c r="FO245" s="5"/>
      <c r="FP245" s="5"/>
      <c r="FQ245" s="5"/>
      <c r="FR245" s="5"/>
      <c r="FS245" s="5"/>
      <c r="FT245" s="5"/>
      <c r="FU245" s="5"/>
      <c r="FV245" s="5"/>
      <c r="FW245" s="5"/>
      <c r="FX245" s="5"/>
      <c r="FY245" s="5"/>
      <c r="FZ245" s="5"/>
      <c r="GA245" s="5"/>
      <c r="GB245" s="5"/>
      <c r="GC245" s="5"/>
      <c r="GD245" s="224" t="s">
        <v>40</v>
      </c>
      <c r="GE245" s="224">
        <f>IF(GE243+GE244&lt;10,3,4)</f>
        <v>4</v>
      </c>
      <c r="GF245" s="229"/>
      <c r="GG245" s="5"/>
      <c r="GH245" s="5"/>
      <c r="GI245" s="5"/>
      <c r="GJ245" s="5"/>
      <c r="GK245" s="5"/>
      <c r="GL245" s="5"/>
      <c r="GM245" s="5"/>
      <c r="GN245" s="5"/>
      <c r="GO245" s="5"/>
      <c r="GP245" s="5"/>
      <c r="GQ245" s="5"/>
    </row>
    <row r="246" spans="1:199" ht="12" hidden="1">
      <c r="A246" s="156">
        <f t="shared" si="80"/>
        <v>1</v>
      </c>
      <c r="DD246" s="73" t="s">
        <v>216</v>
      </c>
      <c r="DE246" s="73"/>
      <c r="DF246" s="73"/>
      <c r="DG246" s="73"/>
      <c r="DH246" s="73"/>
      <c r="DI246" s="73"/>
      <c r="DJ246" s="73"/>
      <c r="DK246" s="73"/>
      <c r="DL246" s="73"/>
      <c r="DM246" s="73"/>
      <c r="DN246" s="73"/>
      <c r="DO246" s="73"/>
      <c r="DP246" s="73"/>
      <c r="DQ246" s="489" t="str">
        <f aca="true" t="shared" si="81" ref="DQ246:DQ253">LEFT(DD246,4)</f>
        <v>9001</v>
      </c>
      <c r="DR246" s="489"/>
      <c r="DS246" s="74">
        <v>2</v>
      </c>
      <c r="DT246" s="489">
        <v>8929</v>
      </c>
      <c r="DU246" s="489"/>
      <c r="DV246" s="74">
        <v>1</v>
      </c>
      <c r="DW246" s="74">
        <v>2</v>
      </c>
      <c r="DX246" s="489">
        <v>1980</v>
      </c>
      <c r="DY246" s="489"/>
      <c r="DZ246" s="74">
        <f>DS246</f>
        <v>2</v>
      </c>
      <c r="EA246" s="75">
        <f>EA178</f>
        <v>1</v>
      </c>
      <c r="EB246" s="295"/>
      <c r="EC246" s="75">
        <f aca="true" t="shared" si="82" ref="EC246:EC253">IF(M107=DQ246,1,0)*EA246</f>
        <v>0</v>
      </c>
      <c r="ED246" s="489">
        <f aca="true" t="shared" si="83" ref="ED246:ED253">DQ246*EC246</f>
        <v>0</v>
      </c>
      <c r="EE246" s="489"/>
      <c r="EF246" s="74">
        <f aca="true" t="shared" si="84" ref="EF246:EF253">DS246*EC246</f>
        <v>0</v>
      </c>
      <c r="EG246" s="489">
        <f aca="true" t="shared" si="85" ref="EG246:EG253">DT246*EC246</f>
        <v>0</v>
      </c>
      <c r="EH246" s="489"/>
      <c r="EI246" s="74">
        <f aca="true" t="shared" si="86" ref="EI246:EI253">DV246*EC246</f>
        <v>0</v>
      </c>
      <c r="EJ246" s="74">
        <f aca="true" t="shared" si="87" ref="EJ246:EJ253">DW246*EC246</f>
        <v>0</v>
      </c>
      <c r="EK246" s="489">
        <f aca="true" t="shared" si="88" ref="EK246:EK253">DX246*EC246</f>
        <v>0</v>
      </c>
      <c r="EL246" s="489"/>
      <c r="EM246" s="74">
        <f aca="true" t="shared" si="89" ref="EM246:EM253">DZ246*EC246</f>
        <v>0</v>
      </c>
      <c r="EN246" s="489">
        <v>0</v>
      </c>
      <c r="EO246" s="489"/>
      <c r="EP246" s="489">
        <f>EC246*9999</f>
        <v>0</v>
      </c>
      <c r="EQ246" s="489"/>
      <c r="ER246" s="385">
        <f>ER178</f>
        <v>0</v>
      </c>
      <c r="ES246" s="385"/>
      <c r="ET246" s="489">
        <f aca="true" t="shared" si="90" ref="ET246:ET253">EC246*ER246</f>
        <v>0</v>
      </c>
      <c r="EU246" s="489"/>
      <c r="EV246" s="672">
        <f>IF(ER276="",0,IF(ET246=0,0,IF(ER276&gt;FF253,FE254,IF(ER276&gt;FF252,FE253,IF(ER276&gt;FF251,FE252,IF(ER276&gt;FF250,FE251,FE250))))))</f>
        <v>0</v>
      </c>
      <c r="EW246" s="672"/>
      <c r="EX246" s="672"/>
      <c r="EY246" s="672"/>
      <c r="EZ246" s="672"/>
      <c r="FA246" s="672"/>
      <c r="FB246" s="196">
        <f aca="true" t="shared" si="91" ref="FB246:FB253">EV246</f>
        <v>0</v>
      </c>
      <c r="FC246" s="242"/>
      <c r="FD246" s="243"/>
      <c r="FE246" s="5"/>
      <c r="FF246" s="5"/>
      <c r="FG246" s="5"/>
      <c r="FH246" s="5"/>
      <c r="FI246" s="5"/>
      <c r="FJ246" s="5"/>
      <c r="FK246" s="5"/>
      <c r="FL246" s="178">
        <f>IF(FK245&lt;28,FL245,FL245+1)</f>
        <v>4</v>
      </c>
      <c r="FM246" s="5"/>
      <c r="FN246" s="5"/>
      <c r="FO246" s="5"/>
      <c r="FP246" s="5"/>
      <c r="FQ246" s="5"/>
      <c r="FR246" s="5"/>
      <c r="FS246" s="5"/>
      <c r="FT246" s="5"/>
      <c r="FU246" s="5"/>
      <c r="FV246" s="5"/>
      <c r="FW246" s="5"/>
      <c r="FX246" s="5"/>
      <c r="FY246" s="5"/>
      <c r="FZ246" s="5"/>
      <c r="GA246" s="5"/>
      <c r="GB246" s="5"/>
      <c r="GC246" s="5"/>
      <c r="GD246" s="224" t="s">
        <v>95</v>
      </c>
      <c r="GE246" s="224">
        <f>IF(GE245=3,GE243+GE244+22,IF(GE243+GE244-9=26,19,IF((GE243+GE244-9)*GF246=25,18,GE243+GE244-9)))</f>
        <v>15</v>
      </c>
      <c r="GF246" s="229">
        <f>GF240*GF243*GF244</f>
        <v>0</v>
      </c>
      <c r="GG246" s="5"/>
      <c r="GH246" s="5"/>
      <c r="GI246" s="5"/>
      <c r="GJ246" s="5"/>
      <c r="GK246" s="5"/>
      <c r="GL246" s="5"/>
      <c r="GM246" s="5"/>
      <c r="GN246" s="5"/>
      <c r="GO246" s="5"/>
      <c r="GP246" s="5"/>
      <c r="GQ246" s="5"/>
    </row>
    <row r="247" spans="1:199" ht="12" hidden="1">
      <c r="A247" s="156">
        <f t="shared" si="80"/>
        <v>1</v>
      </c>
      <c r="DD247" s="73" t="s">
        <v>217</v>
      </c>
      <c r="DE247" s="73"/>
      <c r="DF247" s="73"/>
      <c r="DG247" s="73"/>
      <c r="DH247" s="73"/>
      <c r="DI247" s="73"/>
      <c r="DJ247" s="73"/>
      <c r="DK247" s="73"/>
      <c r="DL247" s="73"/>
      <c r="DM247" s="73"/>
      <c r="DN247" s="73"/>
      <c r="DO247" s="73"/>
      <c r="DP247" s="73"/>
      <c r="DQ247" s="489" t="str">
        <f t="shared" si="81"/>
        <v>9006</v>
      </c>
      <c r="DR247" s="489"/>
      <c r="DS247" s="95" t="s">
        <v>218</v>
      </c>
      <c r="DT247" s="489">
        <v>8933</v>
      </c>
      <c r="DU247" s="489"/>
      <c r="DV247" s="74">
        <v>1</v>
      </c>
      <c r="DW247" s="95" t="s">
        <v>218</v>
      </c>
      <c r="DX247" s="489">
        <v>1983</v>
      </c>
      <c r="DY247" s="489"/>
      <c r="DZ247" s="95" t="s">
        <v>218</v>
      </c>
      <c r="EA247" s="75">
        <f aca="true" t="shared" si="92" ref="EA247:EA253">EA246</f>
        <v>1</v>
      </c>
      <c r="EB247" s="295"/>
      <c r="EC247" s="75">
        <f t="shared" si="82"/>
        <v>0</v>
      </c>
      <c r="ED247" s="489">
        <f t="shared" si="83"/>
        <v>0</v>
      </c>
      <c r="EE247" s="489"/>
      <c r="EF247" s="74">
        <f t="shared" si="84"/>
        <v>0</v>
      </c>
      <c r="EG247" s="489">
        <f t="shared" si="85"/>
        <v>0</v>
      </c>
      <c r="EH247" s="489"/>
      <c r="EI247" s="74">
        <f t="shared" si="86"/>
        <v>0</v>
      </c>
      <c r="EJ247" s="74">
        <f t="shared" si="87"/>
        <v>0</v>
      </c>
      <c r="EK247" s="489">
        <f t="shared" si="88"/>
        <v>0</v>
      </c>
      <c r="EL247" s="489"/>
      <c r="EM247" s="74">
        <f t="shared" si="89"/>
        <v>0</v>
      </c>
      <c r="EN247" s="489">
        <v>0</v>
      </c>
      <c r="EO247" s="489"/>
      <c r="EP247" s="489">
        <f>EC247*9999</f>
        <v>0</v>
      </c>
      <c r="EQ247" s="489"/>
      <c r="ER247" s="385">
        <f aca="true" t="shared" si="93" ref="ER247:ER253">ER246</f>
        <v>0</v>
      </c>
      <c r="ES247" s="385"/>
      <c r="ET247" s="489">
        <f t="shared" si="90"/>
        <v>0</v>
      </c>
      <c r="EU247" s="489"/>
      <c r="EV247" s="672">
        <f>IF(ER276="",0,IF(ET247=0,0,IF(ER276&gt;FF253,FE254,IF(ER276&gt;FF252,FE253,IF(ER276&gt;FF251,FE252,IF(ER276&gt;FF250,FE251,FE250))))))</f>
        <v>0</v>
      </c>
      <c r="EW247" s="672"/>
      <c r="EX247" s="672"/>
      <c r="EY247" s="672"/>
      <c r="EZ247" s="672"/>
      <c r="FA247" s="672"/>
      <c r="FB247" s="196">
        <f t="shared" si="91"/>
        <v>0</v>
      </c>
      <c r="FC247" s="242"/>
      <c r="FD247" s="243"/>
      <c r="FE247" s="5"/>
      <c r="FF247" s="5"/>
      <c r="FG247" s="5"/>
      <c r="FH247" s="5"/>
      <c r="FI247" s="5"/>
      <c r="FJ247" s="5"/>
      <c r="FK247" s="178">
        <v>0</v>
      </c>
      <c r="FL247" s="5">
        <f>IF(FL246=1,13,FL246)</f>
        <v>4</v>
      </c>
      <c r="FM247" s="446">
        <f>IF(FK245&lt;28,IF(FL245=1,FM245-1,FM245),FM245)</f>
        <v>1900</v>
      </c>
      <c r="FN247" s="446"/>
      <c r="FO247" s="5"/>
      <c r="FP247" s="5"/>
      <c r="FQ247" s="5"/>
      <c r="FR247" s="5"/>
      <c r="FS247" s="5"/>
      <c r="FT247" s="5"/>
      <c r="FU247" s="5"/>
      <c r="FV247" s="5"/>
      <c r="FW247" s="5"/>
      <c r="FX247" s="5"/>
      <c r="FY247" s="5"/>
      <c r="FZ247" s="5"/>
      <c r="GA247" s="5"/>
      <c r="GB247" s="345" t="s">
        <v>96</v>
      </c>
      <c r="GC247" s="346" t="s">
        <v>97</v>
      </c>
      <c r="GD247" s="346">
        <f>DATEVALUE(CONCATENATE("06/01/",YEAR(GB248)))</f>
        <v>6</v>
      </c>
      <c r="GE247" s="346">
        <f>DATEVALUE(CONCATENATE(GE246,"/",GE245,"/",YEAR(GB248)))+1</f>
        <v>107</v>
      </c>
      <c r="GF247" s="346">
        <f>DATEVALUE(CONCATENATE("25/04/",YEAR(GB248)))</f>
        <v>116</v>
      </c>
      <c r="GG247" s="346">
        <f>DATEVALUE(CONCATENATE("01/05/",YEAR(GB248)))</f>
        <v>122</v>
      </c>
      <c r="GH247" s="346">
        <f>DATEVALUE(CONCATENATE("02/06/",YEAR(GB248)))</f>
        <v>154</v>
      </c>
      <c r="GI247" s="346">
        <f>DATEVALUE(CONCATENATE("15/08/",YEAR(GB248)))</f>
        <v>228</v>
      </c>
      <c r="GJ247" s="346">
        <f>DATEVALUE(CONCATENATE("01/11/",YEAR(GB248)))</f>
        <v>306</v>
      </c>
      <c r="GK247" s="346">
        <f>DATEVALUE(CONCATENATE("08/12/",YEAR(GB248)))</f>
        <v>343</v>
      </c>
      <c r="GL247" s="346">
        <f>DATEVALUE(CONCATENATE("25/12/",YEAR(GB248)))</f>
        <v>360</v>
      </c>
      <c r="GM247" s="346">
        <f>DATEVALUE(CONCATENATE("01/01/",YEAR(GB248)+1))</f>
        <v>367</v>
      </c>
      <c r="GN247" s="346">
        <f>DATEVALUE(CONCATENATE("06/01/",YEAR(GB248)+1))</f>
        <v>372</v>
      </c>
      <c r="GO247" s="346" t="s">
        <v>97</v>
      </c>
      <c r="GP247" s="346" t="s">
        <v>98</v>
      </c>
      <c r="GQ247" s="347"/>
    </row>
    <row r="248" spans="1:199" ht="12" hidden="1">
      <c r="A248" s="156">
        <f t="shared" si="80"/>
        <v>1</v>
      </c>
      <c r="DD248" s="73" t="s">
        <v>219</v>
      </c>
      <c r="DE248" s="73"/>
      <c r="DF248" s="73"/>
      <c r="DG248" s="73"/>
      <c r="DH248" s="73"/>
      <c r="DI248" s="73"/>
      <c r="DJ248" s="73"/>
      <c r="DK248" s="73"/>
      <c r="DL248" s="73"/>
      <c r="DM248" s="73"/>
      <c r="DN248" s="73"/>
      <c r="DO248" s="73"/>
      <c r="DP248" s="73"/>
      <c r="DQ248" s="489" t="str">
        <f t="shared" si="81"/>
        <v>9526</v>
      </c>
      <c r="DR248" s="489"/>
      <c r="DS248" s="95" t="s">
        <v>218</v>
      </c>
      <c r="DT248" s="489">
        <v>8931</v>
      </c>
      <c r="DU248" s="489"/>
      <c r="DV248" s="74">
        <v>1</v>
      </c>
      <c r="DW248" s="95" t="s">
        <v>218</v>
      </c>
      <c r="DX248" s="489">
        <v>1981</v>
      </c>
      <c r="DY248" s="489"/>
      <c r="DZ248" s="95" t="s">
        <v>218</v>
      </c>
      <c r="EA248" s="75">
        <f t="shared" si="92"/>
        <v>1</v>
      </c>
      <c r="EB248" s="295"/>
      <c r="EC248" s="75">
        <f t="shared" si="82"/>
        <v>0</v>
      </c>
      <c r="ED248" s="489">
        <f t="shared" si="83"/>
        <v>0</v>
      </c>
      <c r="EE248" s="489"/>
      <c r="EF248" s="74">
        <f t="shared" si="84"/>
        <v>0</v>
      </c>
      <c r="EG248" s="489">
        <f t="shared" si="85"/>
        <v>0</v>
      </c>
      <c r="EH248" s="489"/>
      <c r="EI248" s="74">
        <f t="shared" si="86"/>
        <v>0</v>
      </c>
      <c r="EJ248" s="74">
        <f t="shared" si="87"/>
        <v>0</v>
      </c>
      <c r="EK248" s="489">
        <f t="shared" si="88"/>
        <v>0</v>
      </c>
      <c r="EL248" s="489"/>
      <c r="EM248" s="74">
        <f t="shared" si="89"/>
        <v>0</v>
      </c>
      <c r="EN248" s="489">
        <v>0</v>
      </c>
      <c r="EO248" s="489"/>
      <c r="EP248" s="489">
        <f>EC248*9999</f>
        <v>0</v>
      </c>
      <c r="EQ248" s="489"/>
      <c r="ER248" s="385">
        <f t="shared" si="93"/>
        <v>0</v>
      </c>
      <c r="ES248" s="385"/>
      <c r="ET248" s="489">
        <f t="shared" si="90"/>
        <v>0</v>
      </c>
      <c r="EU248" s="489"/>
      <c r="EV248" s="672">
        <f>IF(ER276="",0,IF(ET248=0,0,IF(ER276&gt;FF253,FE254,IF(ER276&gt;FF252,FE253,IF(ER276&gt;FF251,FE252,IF(ER276&gt;FF250,FE251,FE250))))))</f>
        <v>0</v>
      </c>
      <c r="EW248" s="672"/>
      <c r="EX248" s="672"/>
      <c r="EY248" s="672"/>
      <c r="EZ248" s="672"/>
      <c r="FA248" s="672"/>
      <c r="FB248" s="196">
        <f t="shared" si="91"/>
        <v>0</v>
      </c>
      <c r="FC248" s="242"/>
      <c r="FD248" s="243"/>
      <c r="FE248" s="5"/>
      <c r="FF248" s="5"/>
      <c r="FG248" s="5"/>
      <c r="FH248" s="5"/>
      <c r="FI248" s="5"/>
      <c r="FJ248" s="5"/>
      <c r="FK248" s="394">
        <f>GP248</f>
        <v>93</v>
      </c>
      <c r="FL248" s="394"/>
      <c r="FM248" s="394"/>
      <c r="FN248" s="394"/>
      <c r="FO248" s="5"/>
      <c r="FP248" s="5"/>
      <c r="FQ248" s="5"/>
      <c r="FR248" s="5"/>
      <c r="FS248" s="5"/>
      <c r="FT248" s="5"/>
      <c r="FU248" s="5"/>
      <c r="FV248" s="5"/>
      <c r="FW248" s="5"/>
      <c r="FX248" s="5"/>
      <c r="FY248" s="5"/>
      <c r="FZ248" s="5"/>
      <c r="GA248" s="5"/>
      <c r="GB248" s="348">
        <f>DATE(FM247,FL247,FK247)</f>
        <v>91</v>
      </c>
      <c r="GC248" s="349">
        <f>IF(WEEKDAY(GB248,2)=6,2,IF(WEEKDAY(GB248,2)=7,1,0))</f>
        <v>2</v>
      </c>
      <c r="GD248" s="349">
        <f>IF(GB248+GC248=GD247,1,0)</f>
        <v>0</v>
      </c>
      <c r="GE248" s="349">
        <f>IF(GB248+GC248=GE247,1,0)</f>
        <v>0</v>
      </c>
      <c r="GF248" s="349">
        <f>IF(GB248+GC248=GF247,1,0)</f>
        <v>0</v>
      </c>
      <c r="GG248" s="349">
        <f>IF(GB248+GC248=GG247,1,0)</f>
        <v>0</v>
      </c>
      <c r="GH248" s="349">
        <f>IF(GB248+GC248=GH247,1,0)</f>
        <v>0</v>
      </c>
      <c r="GI248" s="349">
        <f>IF(GB248+GC248=GI247,1,0)</f>
        <v>0</v>
      </c>
      <c r="GJ248" s="349">
        <f>IF(GB248+GC248=GJ247,1,0)</f>
        <v>0</v>
      </c>
      <c r="GK248" s="349">
        <f>IF(GB248+GC248=GK247,1,0)</f>
        <v>0</v>
      </c>
      <c r="GL248" s="349">
        <f>IF(GB248+GC248=GL247,2,IF(GB248+GC248=GL247+1,1,0))</f>
        <v>0</v>
      </c>
      <c r="GM248" s="349">
        <f>IF(GB248+GC248=GM247,1,0)</f>
        <v>0</v>
      </c>
      <c r="GN248" s="349">
        <f>IF(GB248+GC248=GN247,1,0)</f>
        <v>0</v>
      </c>
      <c r="GO248" s="349">
        <f>IF(WEEKDAY(GB248+SUM(GC248:GN248),2)=6,2,IF(WEEKDAY(GB248+SUM(GC248:GN248),2)=7,1,0))</f>
        <v>0</v>
      </c>
      <c r="GP248" s="350">
        <f>SUM(GB248:GO248)</f>
        <v>93</v>
      </c>
      <c r="GQ248" s="351">
        <f>GP248-GB248</f>
        <v>2</v>
      </c>
    </row>
    <row r="249" spans="1:184" ht="12" hidden="1">
      <c r="A249" s="156">
        <f t="shared" si="80"/>
        <v>1</v>
      </c>
      <c r="DD249" s="73" t="s">
        <v>220</v>
      </c>
      <c r="DE249" s="73"/>
      <c r="DF249" s="73"/>
      <c r="DG249" s="73"/>
      <c r="DH249" s="73"/>
      <c r="DI249" s="73"/>
      <c r="DJ249" s="73"/>
      <c r="DK249" s="73"/>
      <c r="DL249" s="73"/>
      <c r="DM249" s="73"/>
      <c r="DN249" s="73"/>
      <c r="DO249" s="73"/>
      <c r="DP249" s="73"/>
      <c r="DQ249" s="489" t="str">
        <f t="shared" si="81"/>
        <v>9527</v>
      </c>
      <c r="DR249" s="489"/>
      <c r="DS249" s="95" t="s">
        <v>218</v>
      </c>
      <c r="DT249" s="489">
        <v>8932</v>
      </c>
      <c r="DU249" s="489"/>
      <c r="DV249" s="95" t="s">
        <v>221</v>
      </c>
      <c r="DW249" s="95" t="s">
        <v>218</v>
      </c>
      <c r="DX249" s="489">
        <v>1982</v>
      </c>
      <c r="DY249" s="489"/>
      <c r="DZ249" s="95" t="s">
        <v>218</v>
      </c>
      <c r="EA249" s="75">
        <f t="shared" si="92"/>
        <v>1</v>
      </c>
      <c r="EB249" s="295"/>
      <c r="EC249" s="75">
        <f t="shared" si="82"/>
        <v>0</v>
      </c>
      <c r="ED249" s="489">
        <f t="shared" si="83"/>
        <v>0</v>
      </c>
      <c r="EE249" s="489"/>
      <c r="EF249" s="74">
        <f t="shared" si="84"/>
        <v>0</v>
      </c>
      <c r="EG249" s="489">
        <f t="shared" si="85"/>
        <v>0</v>
      </c>
      <c r="EH249" s="489"/>
      <c r="EI249" s="74">
        <f t="shared" si="86"/>
        <v>0</v>
      </c>
      <c r="EJ249" s="74">
        <f t="shared" si="87"/>
        <v>0</v>
      </c>
      <c r="EK249" s="489">
        <f t="shared" si="88"/>
        <v>0</v>
      </c>
      <c r="EL249" s="489"/>
      <c r="EM249" s="74">
        <f t="shared" si="89"/>
        <v>0</v>
      </c>
      <c r="EN249" s="489">
        <v>0</v>
      </c>
      <c r="EO249" s="489"/>
      <c r="EP249" s="489">
        <f>EC249*9999</f>
        <v>0</v>
      </c>
      <c r="EQ249" s="489"/>
      <c r="ER249" s="385">
        <f t="shared" si="93"/>
        <v>0</v>
      </c>
      <c r="ES249" s="385"/>
      <c r="ET249" s="489">
        <f t="shared" si="90"/>
        <v>0</v>
      </c>
      <c r="EU249" s="489"/>
      <c r="EV249" s="672">
        <f>IF(ER276="",0,IF(ET249=0,0,IF(ER276&gt;FF253,FE254,IF(ER276&gt;FF252,FE253,IF(ER276&gt;FF251,FE252,IF(ER276&gt;FF250,FE251,FE250))))))</f>
        <v>0</v>
      </c>
      <c r="EW249" s="672"/>
      <c r="EX249" s="672"/>
      <c r="EY249" s="672"/>
      <c r="EZ249" s="672"/>
      <c r="FA249" s="672"/>
      <c r="FB249" s="196">
        <f t="shared" si="91"/>
        <v>0</v>
      </c>
      <c r="FC249" s="242"/>
      <c r="FD249" s="243"/>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row>
    <row r="250" spans="1:183" ht="12" hidden="1">
      <c r="A250" s="156">
        <f t="shared" si="80"/>
        <v>1</v>
      </c>
      <c r="DD250" s="73" t="s">
        <v>222</v>
      </c>
      <c r="DE250" s="73"/>
      <c r="DF250" s="73"/>
      <c r="DG250" s="73"/>
      <c r="DH250" s="73"/>
      <c r="DI250" s="73"/>
      <c r="DJ250" s="73"/>
      <c r="DK250" s="73"/>
      <c r="DL250" s="73"/>
      <c r="DM250" s="73"/>
      <c r="DN250" s="73"/>
      <c r="DO250" s="73"/>
      <c r="DP250" s="73"/>
      <c r="DQ250" s="489" t="str">
        <f t="shared" si="81"/>
        <v>3850</v>
      </c>
      <c r="DR250" s="489"/>
      <c r="DS250" s="95" t="s">
        <v>223</v>
      </c>
      <c r="DT250" s="489">
        <v>3852</v>
      </c>
      <c r="DU250" s="489"/>
      <c r="DV250" s="74">
        <v>2</v>
      </c>
      <c r="DW250" s="95" t="s">
        <v>223</v>
      </c>
      <c r="DX250" s="489">
        <v>3851</v>
      </c>
      <c r="DY250" s="489"/>
      <c r="DZ250" s="95" t="s">
        <v>223</v>
      </c>
      <c r="EA250" s="271">
        <f t="shared" si="92"/>
        <v>1</v>
      </c>
      <c r="EB250" s="295"/>
      <c r="EC250" s="75">
        <f t="shared" si="82"/>
        <v>0</v>
      </c>
      <c r="ED250" s="489">
        <f t="shared" si="83"/>
        <v>0</v>
      </c>
      <c r="EE250" s="489"/>
      <c r="EF250" s="74">
        <f t="shared" si="84"/>
        <v>0</v>
      </c>
      <c r="EG250" s="489">
        <f t="shared" si="85"/>
        <v>0</v>
      </c>
      <c r="EH250" s="489"/>
      <c r="EI250" s="74">
        <f t="shared" si="86"/>
        <v>0</v>
      </c>
      <c r="EJ250" s="74">
        <f t="shared" si="87"/>
        <v>0</v>
      </c>
      <c r="EK250" s="489">
        <f t="shared" si="88"/>
        <v>0</v>
      </c>
      <c r="EL250" s="489"/>
      <c r="EM250" s="74">
        <f t="shared" si="89"/>
        <v>0</v>
      </c>
      <c r="EN250" s="489">
        <v>0</v>
      </c>
      <c r="EO250" s="489"/>
      <c r="EP250" s="489">
        <f>IF(X13&lt;&gt;"",EC250*YEAR(X13),0)</f>
        <v>0</v>
      </c>
      <c r="EQ250" s="489"/>
      <c r="ER250" s="385">
        <f t="shared" si="93"/>
        <v>0</v>
      </c>
      <c r="ES250" s="385"/>
      <c r="ET250" s="489">
        <f t="shared" si="90"/>
        <v>0</v>
      </c>
      <c r="EU250" s="489"/>
      <c r="EV250" s="672">
        <f>IF(ER276="",0,IF(ET250=0,0,IF(ER276&gt;FF259,FE259,0)))</f>
        <v>0</v>
      </c>
      <c r="EW250" s="672"/>
      <c r="EX250" s="672"/>
      <c r="EY250" s="672"/>
      <c r="EZ250" s="672"/>
      <c r="FA250" s="672"/>
      <c r="FB250" s="196">
        <f t="shared" si="91"/>
        <v>0</v>
      </c>
      <c r="FC250" s="242"/>
      <c r="FD250" s="243"/>
      <c r="FE250" s="55">
        <v>1</v>
      </c>
      <c r="FF250" s="394">
        <f>MIN(FF264,FK248)</f>
        <v>90</v>
      </c>
      <c r="FG250" s="394"/>
      <c r="FH250" s="394"/>
      <c r="FI250" s="394"/>
      <c r="FJ250" s="159" t="s">
        <v>224</v>
      </c>
      <c r="FK250" s="5"/>
      <c r="FL250" s="5"/>
      <c r="FM250" s="5"/>
      <c r="FN250" s="5"/>
      <c r="FO250" s="5"/>
      <c r="FP250" s="5"/>
      <c r="FQ250" s="5"/>
      <c r="FR250" s="5"/>
      <c r="FS250" s="5"/>
      <c r="FT250" s="5"/>
      <c r="FU250" s="5"/>
      <c r="FV250" s="5"/>
      <c r="FW250" s="5"/>
      <c r="FX250" s="5"/>
      <c r="FY250" s="5"/>
      <c r="FZ250" s="5"/>
      <c r="GA250" s="5"/>
    </row>
    <row r="251" spans="1:199" ht="12" hidden="1">
      <c r="A251" s="156">
        <f t="shared" si="80"/>
        <v>1</v>
      </c>
      <c r="DD251" s="73" t="s">
        <v>225</v>
      </c>
      <c r="DE251" s="73"/>
      <c r="DF251" s="73"/>
      <c r="DG251" s="73"/>
      <c r="DH251" s="73"/>
      <c r="DI251" s="73"/>
      <c r="DJ251" s="73"/>
      <c r="DK251" s="73"/>
      <c r="DL251" s="73"/>
      <c r="DM251" s="73"/>
      <c r="DN251" s="73"/>
      <c r="DO251" s="73"/>
      <c r="DP251" s="73"/>
      <c r="DQ251" s="489" t="str">
        <f t="shared" si="81"/>
        <v>7085</v>
      </c>
      <c r="DR251" s="489"/>
      <c r="DS251" s="95" t="s">
        <v>226</v>
      </c>
      <c r="DT251" s="489">
        <v>678</v>
      </c>
      <c r="DU251" s="489"/>
      <c r="DV251" s="95" t="s">
        <v>227</v>
      </c>
      <c r="DW251" s="95" t="s">
        <v>228</v>
      </c>
      <c r="DX251" s="489" t="s">
        <v>229</v>
      </c>
      <c r="DY251" s="489"/>
      <c r="DZ251" s="95" t="s">
        <v>226</v>
      </c>
      <c r="EA251" s="75">
        <f t="shared" si="92"/>
        <v>1</v>
      </c>
      <c r="EB251" s="295"/>
      <c r="EC251" s="75">
        <f t="shared" si="82"/>
        <v>0</v>
      </c>
      <c r="ED251" s="489">
        <f t="shared" si="83"/>
        <v>0</v>
      </c>
      <c r="EE251" s="489"/>
      <c r="EF251" s="74">
        <f t="shared" si="84"/>
        <v>0</v>
      </c>
      <c r="EG251" s="489">
        <f t="shared" si="85"/>
        <v>0</v>
      </c>
      <c r="EH251" s="489"/>
      <c r="EI251" s="74">
        <f t="shared" si="86"/>
        <v>0</v>
      </c>
      <c r="EJ251" s="74">
        <f t="shared" si="87"/>
        <v>0</v>
      </c>
      <c r="EK251" s="489">
        <f t="shared" si="88"/>
        <v>0</v>
      </c>
      <c r="EL251" s="489"/>
      <c r="EM251" s="74">
        <f t="shared" si="89"/>
        <v>0</v>
      </c>
      <c r="EN251" s="489">
        <v>0</v>
      </c>
      <c r="EO251" s="489"/>
      <c r="EP251" s="489">
        <f>IF(X13&lt;&gt;"",EC251*YEAR(X13),0)</f>
        <v>0</v>
      </c>
      <c r="EQ251" s="489"/>
      <c r="ER251" s="385">
        <f t="shared" si="93"/>
        <v>0</v>
      </c>
      <c r="ES251" s="385"/>
      <c r="ET251" s="489">
        <f t="shared" si="90"/>
        <v>0</v>
      </c>
      <c r="EU251" s="489"/>
      <c r="EV251" s="672">
        <f>IF(ER276="",0,IF(ET251=0,0,IF(ER276&gt;FF262,FE261,IF(ER276&gt;FF263,FE262,IF(ER276&gt;FF264,FE263,FE264)))))</f>
        <v>0</v>
      </c>
      <c r="EW251" s="672"/>
      <c r="EX251" s="672"/>
      <c r="EY251" s="672"/>
      <c r="EZ251" s="672"/>
      <c r="FA251" s="672"/>
      <c r="FB251" s="196">
        <f t="shared" si="91"/>
        <v>0</v>
      </c>
      <c r="FC251" s="242"/>
      <c r="FD251" s="243"/>
      <c r="FE251" s="55">
        <f>IF(FF251&gt;FK248,91,2)</f>
        <v>2</v>
      </c>
      <c r="FF251" s="394">
        <f>MAX(FF264,FK248)</f>
        <v>93</v>
      </c>
      <c r="FG251" s="394"/>
      <c r="FH251" s="394"/>
      <c r="FI251" s="394"/>
      <c r="FJ251" s="159" t="s">
        <v>230</v>
      </c>
      <c r="FK251" s="5"/>
      <c r="FL251" s="5"/>
      <c r="FM251" s="5"/>
      <c r="FN251" s="5"/>
      <c r="FO251" s="5"/>
      <c r="FP251" s="5"/>
      <c r="FQ251" s="5"/>
      <c r="FR251" s="5"/>
      <c r="FS251" s="5"/>
      <c r="FT251" s="5"/>
      <c r="FU251" s="5"/>
      <c r="FV251" s="5"/>
      <c r="FW251" s="5"/>
      <c r="FX251" s="5"/>
      <c r="FY251" s="5"/>
      <c r="FZ251" s="5"/>
      <c r="GA251" s="5"/>
      <c r="GB251" s="5"/>
      <c r="GC251" s="5"/>
      <c r="GD251" s="224" t="s">
        <v>87</v>
      </c>
      <c r="GE251" s="224">
        <f>MOD(YEAR(GB259),19)</f>
        <v>0</v>
      </c>
      <c r="GF251" s="227">
        <f>IF(GE251&gt;10,1,0)</f>
        <v>0</v>
      </c>
      <c r="GG251" s="5"/>
      <c r="GH251" s="5"/>
      <c r="GI251" s="5"/>
      <c r="GJ251" s="5"/>
      <c r="GK251" s="5"/>
      <c r="GL251" s="5"/>
      <c r="GM251" s="5"/>
      <c r="GN251" s="5"/>
      <c r="GO251" s="5"/>
      <c r="GP251" s="5"/>
      <c r="GQ251" s="5"/>
    </row>
    <row r="252" spans="1:199" ht="12" hidden="1">
      <c r="A252" s="156">
        <f t="shared" si="80"/>
        <v>1</v>
      </c>
      <c r="DD252" s="73" t="s">
        <v>231</v>
      </c>
      <c r="DE252" s="73"/>
      <c r="DF252" s="73"/>
      <c r="DG252" s="73"/>
      <c r="DH252" s="73"/>
      <c r="DI252" s="73"/>
      <c r="DJ252" s="73"/>
      <c r="DK252" s="73"/>
      <c r="DL252" s="73"/>
      <c r="DM252" s="73"/>
      <c r="DN252" s="73"/>
      <c r="DO252" s="73"/>
      <c r="DP252" s="73"/>
      <c r="DQ252" s="491" t="str">
        <f t="shared" si="81"/>
        <v>8055</v>
      </c>
      <c r="DR252" s="491"/>
      <c r="DS252" s="238">
        <v>2</v>
      </c>
      <c r="DT252" s="491">
        <v>8912</v>
      </c>
      <c r="DU252" s="491"/>
      <c r="DV252" s="238">
        <v>1</v>
      </c>
      <c r="DW252" s="238">
        <v>2</v>
      </c>
      <c r="DX252" s="491">
        <v>1992</v>
      </c>
      <c r="DY252" s="491"/>
      <c r="DZ252" s="238">
        <v>2</v>
      </c>
      <c r="EA252" s="75">
        <f t="shared" si="92"/>
        <v>1</v>
      </c>
      <c r="EB252" s="295"/>
      <c r="EC252" s="75">
        <f t="shared" si="82"/>
        <v>0</v>
      </c>
      <c r="ED252" s="491">
        <f t="shared" si="83"/>
        <v>0</v>
      </c>
      <c r="EE252" s="491"/>
      <c r="EF252" s="238">
        <f t="shared" si="84"/>
        <v>0</v>
      </c>
      <c r="EG252" s="491">
        <f t="shared" si="85"/>
        <v>0</v>
      </c>
      <c r="EH252" s="491"/>
      <c r="EI252" s="238">
        <f t="shared" si="86"/>
        <v>0</v>
      </c>
      <c r="EJ252" s="238">
        <f t="shared" si="87"/>
        <v>0</v>
      </c>
      <c r="EK252" s="491">
        <f t="shared" si="88"/>
        <v>0</v>
      </c>
      <c r="EL252" s="491"/>
      <c r="EM252" s="238">
        <f t="shared" si="89"/>
        <v>0</v>
      </c>
      <c r="EN252" s="491">
        <v>0</v>
      </c>
      <c r="EO252" s="491"/>
      <c r="EP252" s="491">
        <f>EC252*9999</f>
        <v>0</v>
      </c>
      <c r="EQ252" s="491"/>
      <c r="ER252" s="385">
        <f t="shared" si="93"/>
        <v>0</v>
      </c>
      <c r="ES252" s="385"/>
      <c r="ET252" s="489">
        <f t="shared" si="90"/>
        <v>0</v>
      </c>
      <c r="EU252" s="489"/>
      <c r="EV252" s="672">
        <f>IF(ER276="",0,IF(ET252=0,0,IF(ER276&gt;FF268,FE267,IF(ER276&gt;FF269,FE268,IF(ER276&gt;FF270,FE269,FE270)))))</f>
        <v>0</v>
      </c>
      <c r="EW252" s="672"/>
      <c r="EX252" s="672"/>
      <c r="EY252" s="672"/>
      <c r="EZ252" s="672"/>
      <c r="FA252" s="672"/>
      <c r="FB252" s="196">
        <f t="shared" si="91"/>
        <v>0</v>
      </c>
      <c r="FC252" s="676">
        <f>IF(X13&lt;&gt;"",EC252*MONTH(X13-10),0)</f>
        <v>0</v>
      </c>
      <c r="FD252" s="677"/>
      <c r="FE252" s="5">
        <v>92</v>
      </c>
      <c r="FF252" s="394">
        <f>FF263</f>
        <v>366</v>
      </c>
      <c r="FG252" s="394"/>
      <c r="FH252" s="394"/>
      <c r="FI252" s="394"/>
      <c r="FJ252" s="159" t="s">
        <v>232</v>
      </c>
      <c r="FK252" s="5"/>
      <c r="FL252" s="5"/>
      <c r="FM252" s="5"/>
      <c r="FN252" s="5"/>
      <c r="FO252" s="5"/>
      <c r="FP252" s="5"/>
      <c r="FQ252" s="5"/>
      <c r="FR252" s="5"/>
      <c r="FS252" s="5"/>
      <c r="FT252" s="5"/>
      <c r="FU252" s="5"/>
      <c r="FV252" s="5"/>
      <c r="FW252" s="5"/>
      <c r="FX252" s="5"/>
      <c r="FY252" s="5"/>
      <c r="FZ252" s="5"/>
      <c r="GA252" s="5"/>
      <c r="GB252" s="5"/>
      <c r="GC252" s="5"/>
      <c r="GD252" s="224" t="s">
        <v>89</v>
      </c>
      <c r="GE252" s="224">
        <f>MOD(YEAR(GB259),4)</f>
        <v>0</v>
      </c>
      <c r="GF252" s="228"/>
      <c r="GG252" s="5"/>
      <c r="GH252" s="5"/>
      <c r="GI252" s="5"/>
      <c r="GJ252" s="5"/>
      <c r="GK252" s="5"/>
      <c r="GL252" s="5"/>
      <c r="GM252" s="5"/>
      <c r="GN252" s="5"/>
      <c r="GO252" s="5"/>
      <c r="GP252" s="5"/>
      <c r="GQ252" s="5"/>
    </row>
    <row r="253" spans="1:199" ht="12" hidden="1">
      <c r="A253" s="156">
        <f t="shared" si="80"/>
        <v>1</v>
      </c>
      <c r="DD253" s="73" t="s">
        <v>233</v>
      </c>
      <c r="DE253" s="73"/>
      <c r="DF253" s="73"/>
      <c r="DG253" s="73"/>
      <c r="DH253" s="73"/>
      <c r="DI253" s="73"/>
      <c r="DJ253" s="73"/>
      <c r="DK253" s="73"/>
      <c r="DL253" s="73"/>
      <c r="DM253" s="73"/>
      <c r="DN253" s="73"/>
      <c r="DO253" s="73"/>
      <c r="DP253" s="73"/>
      <c r="DQ253" s="491" t="str">
        <f t="shared" si="81"/>
        <v>8056</v>
      </c>
      <c r="DR253" s="491"/>
      <c r="DS253" s="238">
        <v>2</v>
      </c>
      <c r="DT253" s="491">
        <v>8912</v>
      </c>
      <c r="DU253" s="491"/>
      <c r="DV253" s="238">
        <v>1</v>
      </c>
      <c r="DW253" s="238">
        <v>2</v>
      </c>
      <c r="DX253" s="491">
        <v>1992</v>
      </c>
      <c r="DY253" s="491"/>
      <c r="DZ253" s="238">
        <v>2</v>
      </c>
      <c r="EA253" s="75">
        <f t="shared" si="92"/>
        <v>1</v>
      </c>
      <c r="EB253" s="295"/>
      <c r="EC253" s="75">
        <f t="shared" si="82"/>
        <v>0</v>
      </c>
      <c r="ED253" s="491">
        <f t="shared" si="83"/>
        <v>0</v>
      </c>
      <c r="EE253" s="491"/>
      <c r="EF253" s="238">
        <f t="shared" si="84"/>
        <v>0</v>
      </c>
      <c r="EG253" s="491">
        <f t="shared" si="85"/>
        <v>0</v>
      </c>
      <c r="EH253" s="491"/>
      <c r="EI253" s="238">
        <f t="shared" si="86"/>
        <v>0</v>
      </c>
      <c r="EJ253" s="238">
        <f t="shared" si="87"/>
        <v>0</v>
      </c>
      <c r="EK253" s="491">
        <f t="shared" si="88"/>
        <v>0</v>
      </c>
      <c r="EL253" s="491"/>
      <c r="EM253" s="238">
        <f t="shared" si="89"/>
        <v>0</v>
      </c>
      <c r="EN253" s="491">
        <v>0</v>
      </c>
      <c r="EO253" s="491"/>
      <c r="EP253" s="491">
        <f>EC253*9999</f>
        <v>0</v>
      </c>
      <c r="EQ253" s="491"/>
      <c r="ER253" s="385">
        <f t="shared" si="93"/>
        <v>0</v>
      </c>
      <c r="ES253" s="385"/>
      <c r="ET253" s="489">
        <f t="shared" si="90"/>
        <v>0</v>
      </c>
      <c r="EU253" s="489"/>
      <c r="EV253" s="672">
        <f>IF(ER276="",0,IF(ET253=0,0,IF(ER276&gt;FF268,FE267,IF(ER276&gt;FF269,FE268,IF(ER276&gt;FF270,FE269,FE270)))))</f>
        <v>0</v>
      </c>
      <c r="EW253" s="672"/>
      <c r="EX253" s="672"/>
      <c r="EY253" s="672"/>
      <c r="EZ253" s="672"/>
      <c r="FA253" s="672"/>
      <c r="FB253" s="196">
        <f t="shared" si="91"/>
        <v>0</v>
      </c>
      <c r="FC253" s="676">
        <f>IF(X13&lt;&gt;"",EC253*MONTH(X13-10),0)</f>
        <v>0</v>
      </c>
      <c r="FD253" s="677"/>
      <c r="FE253" s="5">
        <v>93</v>
      </c>
      <c r="FF253" s="394">
        <f>FF262</f>
        <v>731</v>
      </c>
      <c r="FG253" s="394"/>
      <c r="FH253" s="394"/>
      <c r="FI253" s="394"/>
      <c r="FJ253" s="159" t="s">
        <v>234</v>
      </c>
      <c r="FK253" s="5"/>
      <c r="FL253" s="5"/>
      <c r="FM253" s="5"/>
      <c r="FN253" s="5"/>
      <c r="FO253" s="5"/>
      <c r="FP253" s="5"/>
      <c r="FQ253" s="5"/>
      <c r="FR253" s="5"/>
      <c r="FS253" s="5"/>
      <c r="FT253" s="5"/>
      <c r="FU253" s="5"/>
      <c r="FV253" s="5"/>
      <c r="FW253" s="5"/>
      <c r="FX253" s="5"/>
      <c r="FY253" s="5"/>
      <c r="FZ253" s="5"/>
      <c r="GA253" s="5"/>
      <c r="GB253" s="5"/>
      <c r="GC253" s="5"/>
      <c r="GD253" s="224" t="s">
        <v>91</v>
      </c>
      <c r="GE253" s="224">
        <f>MOD(YEAR(GB259),7)</f>
        <v>3</v>
      </c>
      <c r="GF253" s="228"/>
      <c r="GG253" s="5"/>
      <c r="GH253" s="5"/>
      <c r="GI253" s="5"/>
      <c r="GJ253" s="5"/>
      <c r="GK253" s="5"/>
      <c r="GL253" s="5"/>
      <c r="GM253" s="5"/>
      <c r="GN253" s="5"/>
      <c r="GO253" s="5"/>
      <c r="GP253" s="5"/>
      <c r="GQ253" s="5"/>
    </row>
    <row r="254" spans="1:216" ht="12" hidden="1">
      <c r="A254" s="156">
        <f t="shared" si="80"/>
        <v>1</v>
      </c>
      <c r="DD254" s="73" t="s">
        <v>14</v>
      </c>
      <c r="DE254" s="73"/>
      <c r="DF254" s="73"/>
      <c r="DG254" s="73"/>
      <c r="DH254" s="73"/>
      <c r="DI254" s="73"/>
      <c r="DJ254" s="73"/>
      <c r="DK254" s="73"/>
      <c r="DL254" s="73"/>
      <c r="DM254" s="73"/>
      <c r="DN254" s="73"/>
      <c r="DO254" s="73"/>
      <c r="DP254" s="73"/>
      <c r="DQ254" s="95"/>
      <c r="DR254" s="95"/>
      <c r="DS254" s="95"/>
      <c r="DT254" s="95"/>
      <c r="DU254" s="95"/>
      <c r="DV254" s="95"/>
      <c r="DW254" s="95"/>
      <c r="DX254" s="95"/>
      <c r="DY254" s="95"/>
      <c r="DZ254" s="95"/>
      <c r="EA254" s="95"/>
      <c r="EB254" s="296"/>
      <c r="EC254" s="95"/>
      <c r="ED254" s="489"/>
      <c r="EE254" s="489"/>
      <c r="EF254" s="74"/>
      <c r="EG254" s="489"/>
      <c r="EH254" s="489"/>
      <c r="EI254" s="74"/>
      <c r="EJ254" s="74"/>
      <c r="EK254" s="489"/>
      <c r="EL254" s="489"/>
      <c r="EM254" s="74"/>
      <c r="EN254" s="489"/>
      <c r="EO254" s="489"/>
      <c r="EP254" s="489"/>
      <c r="EQ254" s="489"/>
      <c r="ER254" s="385"/>
      <c r="ES254" s="385"/>
      <c r="ET254" s="489"/>
      <c r="EU254" s="489"/>
      <c r="EV254" s="82"/>
      <c r="EW254" s="82"/>
      <c r="EX254" s="82"/>
      <c r="EY254" s="82"/>
      <c r="EZ254" s="82"/>
      <c r="FA254" s="82"/>
      <c r="FB254" s="82"/>
      <c r="FC254" s="244"/>
      <c r="FD254" s="245"/>
      <c r="FE254" s="5">
        <v>94</v>
      </c>
      <c r="FF254" s="5"/>
      <c r="FG254" s="5"/>
      <c r="FH254" s="5"/>
      <c r="FI254" s="5"/>
      <c r="FJ254" s="5"/>
      <c r="FK254" s="5"/>
      <c r="FL254" s="5"/>
      <c r="FM254" s="5"/>
      <c r="FN254" s="5"/>
      <c r="FO254" s="5"/>
      <c r="FP254" s="5"/>
      <c r="FQ254" s="5"/>
      <c r="FR254" s="5"/>
      <c r="FS254" s="5"/>
      <c r="FT254" s="5"/>
      <c r="FU254" s="5"/>
      <c r="FV254" s="5"/>
      <c r="GB254" s="5"/>
      <c r="GC254" s="5"/>
      <c r="GD254" s="224" t="s">
        <v>93</v>
      </c>
      <c r="GE254" s="224">
        <f>MOD(19*GE251+24,30)</f>
        <v>24</v>
      </c>
      <c r="GF254" s="228">
        <f>IF(GE254=28,1,0)</f>
        <v>0</v>
      </c>
      <c r="GG254" s="5"/>
      <c r="GH254" s="5"/>
      <c r="GI254" s="5"/>
      <c r="GJ254" s="5"/>
      <c r="GK254" s="5"/>
      <c r="GL254" s="5"/>
      <c r="GM254" s="5"/>
      <c r="GN254" s="5"/>
      <c r="GO254" s="5"/>
      <c r="GP254" s="5"/>
      <c r="GQ254" s="5"/>
      <c r="GS254" s="5"/>
      <c r="GT254" s="5"/>
      <c r="GU254" s="224" t="s">
        <v>87</v>
      </c>
      <c r="GV254" s="224">
        <f>MOD(YEAR(GS262),19)</f>
        <v>1</v>
      </c>
      <c r="GW254" s="227">
        <f>IF(GV254&gt;10,1,0)</f>
        <v>0</v>
      </c>
      <c r="GX254" s="5"/>
      <c r="GY254" s="5"/>
      <c r="GZ254" s="5"/>
      <c r="HA254" s="5"/>
      <c r="HB254" s="5"/>
      <c r="HC254" s="5"/>
      <c r="HD254" s="5"/>
      <c r="HE254" s="5"/>
      <c r="HF254" s="5"/>
      <c r="HG254" s="5"/>
      <c r="HH254" s="5"/>
    </row>
    <row r="255" spans="1:233" ht="12" hidden="1">
      <c r="A255" s="156">
        <f t="shared" si="80"/>
        <v>1</v>
      </c>
      <c r="DD255" s="73" t="s">
        <v>14</v>
      </c>
      <c r="DE255" s="73"/>
      <c r="DF255" s="73"/>
      <c r="DG255" s="73"/>
      <c r="DH255" s="73"/>
      <c r="DI255" s="73"/>
      <c r="DJ255" s="73"/>
      <c r="DK255" s="73"/>
      <c r="DL255" s="73"/>
      <c r="DM255" s="73"/>
      <c r="DN255" s="73"/>
      <c r="DO255" s="73"/>
      <c r="DP255" s="73"/>
      <c r="DQ255" s="95"/>
      <c r="DR255" s="95"/>
      <c r="DS255" s="95"/>
      <c r="DT255" s="95"/>
      <c r="DU255" s="95"/>
      <c r="DV255" s="95"/>
      <c r="DW255" s="95"/>
      <c r="DX255" s="95"/>
      <c r="DY255" s="95"/>
      <c r="DZ255" s="95"/>
      <c r="EA255" s="95"/>
      <c r="EB255" s="296"/>
      <c r="EC255" s="95"/>
      <c r="ED255" s="489"/>
      <c r="EE255" s="489"/>
      <c r="EF255" s="74"/>
      <c r="EG255" s="489"/>
      <c r="EH255" s="489"/>
      <c r="EI255" s="74"/>
      <c r="EJ255" s="74"/>
      <c r="EK255" s="489"/>
      <c r="EL255" s="489"/>
      <c r="EM255" s="74"/>
      <c r="EN255" s="489"/>
      <c r="EO255" s="489"/>
      <c r="EP255" s="489"/>
      <c r="EQ255" s="489"/>
      <c r="ER255" s="385"/>
      <c r="ES255" s="385"/>
      <c r="ET255" s="489"/>
      <c r="EU255" s="489"/>
      <c r="EV255" s="82"/>
      <c r="EW255" s="82"/>
      <c r="EX255" s="82"/>
      <c r="EY255" s="82"/>
      <c r="EZ255" s="82"/>
      <c r="FA255" s="82"/>
      <c r="FB255" s="82"/>
      <c r="FC255" s="244"/>
      <c r="FD255" s="245"/>
      <c r="FK255" s="5"/>
      <c r="FL255" s="5"/>
      <c r="FM255" s="5"/>
      <c r="FN255" s="5"/>
      <c r="FO255" s="5"/>
      <c r="FP255" s="5"/>
      <c r="FQ255" s="5"/>
      <c r="FR255" s="5"/>
      <c r="FS255" s="5"/>
      <c r="FT255" s="5"/>
      <c r="FU255" s="5"/>
      <c r="FV255" s="5"/>
      <c r="GB255" s="5"/>
      <c r="GC255" s="5"/>
      <c r="GD255" s="224" t="s">
        <v>94</v>
      </c>
      <c r="GE255" s="224">
        <f>MOD(2*GE252+4*GE253+6*GE254+5,7)</f>
        <v>0</v>
      </c>
      <c r="GF255" s="228">
        <f>IF(GE255=6,1,0)</f>
        <v>0</v>
      </c>
      <c r="GG255" s="5"/>
      <c r="GH255" s="5"/>
      <c r="GI255" s="5"/>
      <c r="GJ255" s="5"/>
      <c r="GK255" s="5"/>
      <c r="GL255" s="5"/>
      <c r="GM255" s="5"/>
      <c r="GN255" s="5"/>
      <c r="GO255" s="5"/>
      <c r="GP255" s="5"/>
      <c r="GQ255" s="5"/>
      <c r="GS255" s="5"/>
      <c r="GT255" s="5"/>
      <c r="GU255" s="224" t="s">
        <v>89</v>
      </c>
      <c r="GV255" s="224">
        <f>MOD(YEAR(GS262),4)</f>
        <v>1</v>
      </c>
      <c r="GW255" s="228"/>
      <c r="GX255" s="5"/>
      <c r="GY255" s="5"/>
      <c r="GZ255" s="5"/>
      <c r="HA255" s="5"/>
      <c r="HB255" s="5"/>
      <c r="HC255" s="5"/>
      <c r="HD255" s="5"/>
      <c r="HE255" s="5"/>
      <c r="HF255" s="5"/>
      <c r="HG255" s="5"/>
      <c r="HH255" s="5"/>
      <c r="HJ255" s="5"/>
      <c r="HK255" s="5"/>
      <c r="HL255" s="224" t="s">
        <v>87</v>
      </c>
      <c r="HM255" s="224">
        <f>MOD(YEAR(HJ263),19)</f>
        <v>0</v>
      </c>
      <c r="HN255" s="227">
        <f>IF(HM255&gt;10,1,0)</f>
        <v>0</v>
      </c>
      <c r="HO255" s="5"/>
      <c r="HP255" s="5"/>
      <c r="HQ255" s="5"/>
      <c r="HR255" s="5"/>
      <c r="HS255" s="5"/>
      <c r="HT255" s="5"/>
      <c r="HU255" s="5"/>
      <c r="HV255" s="5"/>
      <c r="HW255" s="5"/>
      <c r="HX255" s="5"/>
      <c r="HY255" s="5"/>
    </row>
    <row r="256" spans="1:250" ht="12" hidden="1">
      <c r="A256" s="156">
        <f t="shared" si="80"/>
        <v>1</v>
      </c>
      <c r="DD256" s="73" t="s">
        <v>14</v>
      </c>
      <c r="DE256" s="73"/>
      <c r="DF256" s="73"/>
      <c r="DG256" s="73"/>
      <c r="DH256" s="73"/>
      <c r="DI256" s="73"/>
      <c r="DJ256" s="73"/>
      <c r="DK256" s="73"/>
      <c r="DL256" s="73"/>
      <c r="DM256" s="73"/>
      <c r="DN256" s="73"/>
      <c r="DO256" s="73"/>
      <c r="DP256" s="73"/>
      <c r="DQ256" s="95"/>
      <c r="DR256" s="95"/>
      <c r="DS256" s="95"/>
      <c r="DT256" s="95"/>
      <c r="DU256" s="95"/>
      <c r="DV256" s="95"/>
      <c r="DW256" s="95"/>
      <c r="DX256" s="95"/>
      <c r="DY256" s="95"/>
      <c r="DZ256" s="95"/>
      <c r="EA256" s="95"/>
      <c r="EB256" s="296"/>
      <c r="EC256" s="95"/>
      <c r="ED256" s="489"/>
      <c r="EE256" s="489"/>
      <c r="EF256" s="74"/>
      <c r="EG256" s="489"/>
      <c r="EH256" s="489"/>
      <c r="EI256" s="74"/>
      <c r="EJ256" s="74"/>
      <c r="EK256" s="489"/>
      <c r="EL256" s="489"/>
      <c r="EM256" s="74"/>
      <c r="EN256" s="489"/>
      <c r="EO256" s="489"/>
      <c r="EP256" s="489"/>
      <c r="EQ256" s="489"/>
      <c r="ER256" s="385"/>
      <c r="ES256" s="385"/>
      <c r="ET256" s="489"/>
      <c r="EU256" s="489"/>
      <c r="EV256" s="82"/>
      <c r="EW256" s="82"/>
      <c r="EX256" s="82"/>
      <c r="EY256" s="82"/>
      <c r="EZ256" s="82"/>
      <c r="FA256" s="82"/>
      <c r="FB256" s="82"/>
      <c r="FC256" s="244"/>
      <c r="FD256" s="245"/>
      <c r="FK256" s="5"/>
      <c r="FL256" s="5"/>
      <c r="FM256" s="5"/>
      <c r="FN256" s="5"/>
      <c r="FO256" s="5"/>
      <c r="FP256" s="5"/>
      <c r="FQ256" s="5"/>
      <c r="FR256" s="5"/>
      <c r="FS256" s="5"/>
      <c r="FT256" s="5"/>
      <c r="FU256" s="5"/>
      <c r="FV256" s="5"/>
      <c r="GB256" s="5"/>
      <c r="GC256" s="5"/>
      <c r="GD256" s="224" t="s">
        <v>40</v>
      </c>
      <c r="GE256" s="224">
        <f>IF(GE254+GE255&lt;10,3,4)</f>
        <v>4</v>
      </c>
      <c r="GF256" s="229"/>
      <c r="GG256" s="5"/>
      <c r="GH256" s="5"/>
      <c r="GI256" s="5"/>
      <c r="GJ256" s="5"/>
      <c r="GK256" s="5"/>
      <c r="GL256" s="5"/>
      <c r="GM256" s="5"/>
      <c r="GN256" s="5"/>
      <c r="GO256" s="5"/>
      <c r="GP256" s="5"/>
      <c r="GQ256" s="5"/>
      <c r="GS256" s="5"/>
      <c r="GT256" s="5"/>
      <c r="GU256" s="224" t="s">
        <v>91</v>
      </c>
      <c r="GV256" s="224">
        <f>MOD(YEAR(GS262),7)</f>
        <v>4</v>
      </c>
      <c r="GW256" s="228"/>
      <c r="GX256" s="5"/>
      <c r="GY256" s="5"/>
      <c r="GZ256" s="5"/>
      <c r="HA256" s="5"/>
      <c r="HB256" s="5"/>
      <c r="HC256" s="5"/>
      <c r="HD256" s="5"/>
      <c r="HE256" s="5"/>
      <c r="HF256" s="5"/>
      <c r="HG256" s="5"/>
      <c r="HH256" s="5"/>
      <c r="HJ256" s="5"/>
      <c r="HK256" s="5"/>
      <c r="HL256" s="224" t="s">
        <v>89</v>
      </c>
      <c r="HM256" s="224">
        <f>MOD(YEAR(HJ263),4)</f>
        <v>0</v>
      </c>
      <c r="HN256" s="228"/>
      <c r="HO256" s="5"/>
      <c r="HP256" s="5"/>
      <c r="HQ256" s="5"/>
      <c r="HR256" s="5"/>
      <c r="HS256" s="5"/>
      <c r="HT256" s="5"/>
      <c r="HU256" s="5"/>
      <c r="HV256" s="5"/>
      <c r="HW256" s="5"/>
      <c r="HX256" s="5"/>
      <c r="HY256" s="5"/>
      <c r="IA256" s="5"/>
      <c r="IB256" s="5"/>
      <c r="IC256" s="224" t="s">
        <v>87</v>
      </c>
      <c r="ID256" s="224">
        <f>MOD(YEAR(IA264),19)</f>
        <v>0</v>
      </c>
      <c r="IE256" s="227">
        <f>IF(ID256&gt;10,1,0)</f>
        <v>0</v>
      </c>
      <c r="IF256" s="5"/>
      <c r="IG256" s="5"/>
      <c r="IH256" s="5"/>
      <c r="II256" s="5"/>
      <c r="IJ256" s="5"/>
      <c r="IK256" s="5"/>
      <c r="IL256" s="5"/>
      <c r="IM256" s="5"/>
      <c r="IN256" s="5"/>
      <c r="IO256" s="5"/>
      <c r="IP256" s="5"/>
    </row>
    <row r="257" spans="1:250" ht="12" hidden="1">
      <c r="A257" s="156">
        <f t="shared" si="80"/>
        <v>1</v>
      </c>
      <c r="DD257" s="73" t="s">
        <v>14</v>
      </c>
      <c r="DE257" s="73"/>
      <c r="DF257" s="73"/>
      <c r="DG257" s="73"/>
      <c r="DH257" s="73"/>
      <c r="DI257" s="73"/>
      <c r="DJ257" s="73"/>
      <c r="DK257" s="73"/>
      <c r="DL257" s="73"/>
      <c r="DM257" s="73"/>
      <c r="DN257" s="73"/>
      <c r="DO257" s="73"/>
      <c r="DP257" s="73"/>
      <c r="DQ257" s="95"/>
      <c r="DR257" s="95"/>
      <c r="DS257" s="95"/>
      <c r="DT257" s="95"/>
      <c r="DU257" s="95"/>
      <c r="DV257" s="95"/>
      <c r="DW257" s="95"/>
      <c r="DX257" s="95"/>
      <c r="DY257" s="95"/>
      <c r="DZ257" s="95"/>
      <c r="EA257" s="95"/>
      <c r="EB257" s="296"/>
      <c r="EC257" s="95"/>
      <c r="ED257" s="489"/>
      <c r="EE257" s="489"/>
      <c r="EF257" s="74"/>
      <c r="EG257" s="489"/>
      <c r="EH257" s="489"/>
      <c r="EI257" s="74"/>
      <c r="EJ257" s="74"/>
      <c r="EK257" s="489"/>
      <c r="EL257" s="489"/>
      <c r="EM257" s="74"/>
      <c r="EN257" s="489"/>
      <c r="EO257" s="489"/>
      <c r="EP257" s="489"/>
      <c r="EQ257" s="489"/>
      <c r="ER257" s="385"/>
      <c r="ES257" s="385"/>
      <c r="ET257" s="489"/>
      <c r="EU257" s="489"/>
      <c r="EV257" s="82"/>
      <c r="EW257" s="82"/>
      <c r="EX257" s="82"/>
      <c r="EY257" s="82"/>
      <c r="EZ257" s="82"/>
      <c r="FA257" s="82"/>
      <c r="FB257" s="82"/>
      <c r="FC257" s="244"/>
      <c r="FD257" s="245"/>
      <c r="FK257" s="5"/>
      <c r="FL257" s="5"/>
      <c r="FM257" s="5"/>
      <c r="FN257" s="5"/>
      <c r="FO257" s="5"/>
      <c r="FP257" s="5"/>
      <c r="FQ257" s="5"/>
      <c r="FR257" s="5"/>
      <c r="FS257" s="5"/>
      <c r="FT257" s="5"/>
      <c r="FU257" s="5"/>
      <c r="FV257" s="5"/>
      <c r="GB257" s="5"/>
      <c r="GC257" s="5"/>
      <c r="GD257" s="224" t="s">
        <v>95</v>
      </c>
      <c r="GE257" s="224">
        <f>IF(GE256=3,GE254+GE255+22,IF(GE254+GE255-9=26,19,IF((GE254+GE255-9)*GF257=25,18,GE254+GE255-9)))</f>
        <v>15</v>
      </c>
      <c r="GF257" s="229">
        <f>GF251*GF254*GF255</f>
        <v>0</v>
      </c>
      <c r="GG257" s="5"/>
      <c r="GH257" s="5"/>
      <c r="GI257" s="5"/>
      <c r="GJ257" s="5"/>
      <c r="GK257" s="5"/>
      <c r="GL257" s="5"/>
      <c r="GM257" s="5"/>
      <c r="GN257" s="5"/>
      <c r="GO257" s="5"/>
      <c r="GP257" s="5"/>
      <c r="GQ257" s="5"/>
      <c r="GS257" s="5"/>
      <c r="GT257" s="5"/>
      <c r="GU257" s="224" t="s">
        <v>93</v>
      </c>
      <c r="GV257" s="224">
        <f>MOD(19*GV254+24,30)</f>
        <v>13</v>
      </c>
      <c r="GW257" s="228">
        <f>IF(GV257=28,1,0)</f>
        <v>0</v>
      </c>
      <c r="GX257" s="5"/>
      <c r="GY257" s="5"/>
      <c r="GZ257" s="5"/>
      <c r="HA257" s="5"/>
      <c r="HB257" s="5"/>
      <c r="HC257" s="5"/>
      <c r="HD257" s="5"/>
      <c r="HE257" s="5"/>
      <c r="HF257" s="5"/>
      <c r="HG257" s="5"/>
      <c r="HH257" s="5"/>
      <c r="HJ257" s="5"/>
      <c r="HK257" s="5"/>
      <c r="HL257" s="224" t="s">
        <v>91</v>
      </c>
      <c r="HM257" s="224">
        <f>MOD(YEAR(HJ263),7)</f>
        <v>3</v>
      </c>
      <c r="HN257" s="228"/>
      <c r="HO257" s="5"/>
      <c r="HP257" s="5"/>
      <c r="HQ257" s="5"/>
      <c r="HR257" s="5"/>
      <c r="HS257" s="5"/>
      <c r="HT257" s="5"/>
      <c r="HU257" s="5"/>
      <c r="HV257" s="5"/>
      <c r="HW257" s="5"/>
      <c r="HX257" s="5"/>
      <c r="HY257" s="5"/>
      <c r="IA257" s="5"/>
      <c r="IB257" s="5"/>
      <c r="IC257" s="224" t="s">
        <v>89</v>
      </c>
      <c r="ID257" s="224">
        <f>MOD(YEAR(IA264),4)</f>
        <v>0</v>
      </c>
      <c r="IE257" s="228"/>
      <c r="IF257" s="5"/>
      <c r="IG257" s="5"/>
      <c r="IH257" s="5"/>
      <c r="II257" s="5"/>
      <c r="IJ257" s="5"/>
      <c r="IK257" s="5"/>
      <c r="IL257" s="5"/>
      <c r="IM257" s="5"/>
      <c r="IN257" s="5"/>
      <c r="IO257" s="5"/>
      <c r="IP257" s="5"/>
    </row>
    <row r="258" spans="1:250" ht="12" hidden="1">
      <c r="A258" s="156">
        <f t="shared" si="80"/>
        <v>1</v>
      </c>
      <c r="DD258" s="73" t="s">
        <v>14</v>
      </c>
      <c r="DE258" s="73"/>
      <c r="DF258" s="73"/>
      <c r="DG258" s="73"/>
      <c r="DH258" s="73"/>
      <c r="DI258" s="73"/>
      <c r="DJ258" s="73"/>
      <c r="DK258" s="73"/>
      <c r="DL258" s="73"/>
      <c r="DM258" s="73"/>
      <c r="DN258" s="73"/>
      <c r="DO258" s="73"/>
      <c r="DP258" s="73"/>
      <c r="DQ258" s="95"/>
      <c r="DR258" s="95"/>
      <c r="DS258" s="95"/>
      <c r="DT258" s="95"/>
      <c r="DU258" s="95"/>
      <c r="DV258" s="95"/>
      <c r="DW258" s="95"/>
      <c r="DX258" s="95"/>
      <c r="DY258" s="95"/>
      <c r="DZ258" s="95"/>
      <c r="EA258" s="95"/>
      <c r="EB258" s="296"/>
      <c r="EC258" s="95"/>
      <c r="ED258" s="489"/>
      <c r="EE258" s="489"/>
      <c r="EF258" s="74"/>
      <c r="EG258" s="489"/>
      <c r="EH258" s="489"/>
      <c r="EI258" s="74"/>
      <c r="EJ258" s="74"/>
      <c r="EK258" s="489"/>
      <c r="EL258" s="489"/>
      <c r="EM258" s="74"/>
      <c r="EN258" s="489"/>
      <c r="EO258" s="489"/>
      <c r="EP258" s="489"/>
      <c r="EQ258" s="489"/>
      <c r="ER258" s="385"/>
      <c r="ES258" s="385"/>
      <c r="ET258" s="489"/>
      <c r="EU258" s="489"/>
      <c r="EV258" s="82"/>
      <c r="EW258" s="82"/>
      <c r="EX258" s="82"/>
      <c r="EY258" s="82"/>
      <c r="EZ258" s="82"/>
      <c r="FA258" s="82"/>
      <c r="FB258" s="82"/>
      <c r="FC258" s="244"/>
      <c r="FD258" s="245"/>
      <c r="GB258" s="345" t="s">
        <v>96</v>
      </c>
      <c r="GC258" s="346" t="s">
        <v>97</v>
      </c>
      <c r="GD258" s="346">
        <f>DATEVALUE(CONCATENATE("06/01/",YEAR(GB259)))</f>
        <v>6</v>
      </c>
      <c r="GE258" s="346">
        <f>DATEVALUE(CONCATENATE(GE257,"/",GE256,"/",YEAR(GB259)))+1</f>
        <v>107</v>
      </c>
      <c r="GF258" s="346">
        <f>DATEVALUE(CONCATENATE("25/04/",YEAR(GB259)))</f>
        <v>116</v>
      </c>
      <c r="GG258" s="346">
        <f>DATEVALUE(CONCATENATE("01/05/",YEAR(GB259)))</f>
        <v>122</v>
      </c>
      <c r="GH258" s="346">
        <f>DATEVALUE(CONCATENATE("02/06/",YEAR(GB259)))</f>
        <v>154</v>
      </c>
      <c r="GI258" s="346">
        <f>DATEVALUE(CONCATENATE("15/08/",YEAR(GB259)))</f>
        <v>228</v>
      </c>
      <c r="GJ258" s="346">
        <f>DATEVALUE(CONCATENATE("01/11/",YEAR(GB259)))</f>
        <v>306</v>
      </c>
      <c r="GK258" s="346">
        <f>DATEVALUE(CONCATENATE("08/12/",YEAR(GB259)))</f>
        <v>343</v>
      </c>
      <c r="GL258" s="346">
        <f>DATEVALUE(CONCATENATE("25/12/",YEAR(GB259)))</f>
        <v>360</v>
      </c>
      <c r="GM258" s="346">
        <f>DATEVALUE(CONCATENATE("01/01/",YEAR(GB259)+1))</f>
        <v>367</v>
      </c>
      <c r="GN258" s="346">
        <f>DATEVALUE(CONCATENATE("06/01/",YEAR(GB259)+1))</f>
        <v>372</v>
      </c>
      <c r="GO258" s="346" t="s">
        <v>97</v>
      </c>
      <c r="GP258" s="346" t="s">
        <v>98</v>
      </c>
      <c r="GQ258" s="347"/>
      <c r="GS258" s="5"/>
      <c r="GT258" s="5"/>
      <c r="GU258" s="224" t="s">
        <v>94</v>
      </c>
      <c r="GV258" s="224">
        <f>MOD(2*GV255+4*GV256+6*GV257+5,7)</f>
        <v>3</v>
      </c>
      <c r="GW258" s="228">
        <f>IF(GV258=6,1,0)</f>
        <v>0</v>
      </c>
      <c r="GX258" s="5"/>
      <c r="GY258" s="5"/>
      <c r="GZ258" s="5"/>
      <c r="HA258" s="5"/>
      <c r="HB258" s="5"/>
      <c r="HC258" s="5"/>
      <c r="HD258" s="5"/>
      <c r="HE258" s="5"/>
      <c r="HF258" s="5"/>
      <c r="HG258" s="5"/>
      <c r="HH258" s="5"/>
      <c r="HJ258" s="5"/>
      <c r="HK258" s="5"/>
      <c r="HL258" s="224" t="s">
        <v>93</v>
      </c>
      <c r="HM258" s="224">
        <f>MOD(19*HM255+24,30)</f>
        <v>24</v>
      </c>
      <c r="HN258" s="228">
        <f>IF(HM258=28,1,0)</f>
        <v>0</v>
      </c>
      <c r="HO258" s="5"/>
      <c r="HP258" s="5"/>
      <c r="HQ258" s="5"/>
      <c r="HR258" s="5"/>
      <c r="HS258" s="5"/>
      <c r="HT258" s="5"/>
      <c r="HU258" s="5"/>
      <c r="HV258" s="5"/>
      <c r="HW258" s="5"/>
      <c r="HX258" s="5"/>
      <c r="HY258" s="5"/>
      <c r="IA258" s="5"/>
      <c r="IB258" s="5"/>
      <c r="IC258" s="224" t="s">
        <v>91</v>
      </c>
      <c r="ID258" s="224">
        <f>MOD(YEAR(IA264),7)</f>
        <v>3</v>
      </c>
      <c r="IE258" s="228"/>
      <c r="IF258" s="5"/>
      <c r="IG258" s="5"/>
      <c r="IH258" s="5"/>
      <c r="II258" s="5"/>
      <c r="IJ258" s="5"/>
      <c r="IK258" s="5"/>
      <c r="IL258" s="5"/>
      <c r="IM258" s="5"/>
      <c r="IN258" s="5"/>
      <c r="IO258" s="5"/>
      <c r="IP258" s="5"/>
    </row>
    <row r="259" spans="1:250" ht="12" hidden="1">
      <c r="A259" s="156">
        <f t="shared" si="80"/>
        <v>1</v>
      </c>
      <c r="DD259" s="73" t="s">
        <v>14</v>
      </c>
      <c r="DE259" s="73"/>
      <c r="DF259" s="73"/>
      <c r="DG259" s="73"/>
      <c r="DH259" s="73"/>
      <c r="DI259" s="73"/>
      <c r="DJ259" s="73"/>
      <c r="DK259" s="73"/>
      <c r="DL259" s="73"/>
      <c r="DM259" s="73"/>
      <c r="DN259" s="73"/>
      <c r="DO259" s="73"/>
      <c r="DP259" s="73"/>
      <c r="DQ259" s="95"/>
      <c r="DR259" s="95"/>
      <c r="DS259" s="95"/>
      <c r="DT259" s="95"/>
      <c r="DU259" s="95"/>
      <c r="DV259" s="95"/>
      <c r="DW259" s="95"/>
      <c r="DX259" s="95"/>
      <c r="DY259" s="95"/>
      <c r="DZ259" s="95"/>
      <c r="EA259" s="95"/>
      <c r="EB259" s="296"/>
      <c r="EC259" s="95"/>
      <c r="ED259" s="489"/>
      <c r="EE259" s="489"/>
      <c r="EF259" s="74"/>
      <c r="EG259" s="489"/>
      <c r="EH259" s="489"/>
      <c r="EI259" s="74"/>
      <c r="EJ259" s="74"/>
      <c r="EK259" s="489"/>
      <c r="EL259" s="489"/>
      <c r="EM259" s="74"/>
      <c r="EN259" s="489"/>
      <c r="EO259" s="489"/>
      <c r="EP259" s="489"/>
      <c r="EQ259" s="489"/>
      <c r="ER259" s="385"/>
      <c r="ES259" s="385"/>
      <c r="ET259" s="489"/>
      <c r="EU259" s="489"/>
      <c r="EV259" s="82"/>
      <c r="EW259" s="82"/>
      <c r="EX259" s="82"/>
      <c r="EY259" s="82"/>
      <c r="EZ259" s="82"/>
      <c r="FA259" s="82"/>
      <c r="FB259" s="82"/>
      <c r="FC259" s="244"/>
      <c r="FD259" s="245"/>
      <c r="FE259" s="55">
        <v>99</v>
      </c>
      <c r="FF259" s="394">
        <f>GP259</f>
        <v>366</v>
      </c>
      <c r="FG259" s="394"/>
      <c r="FH259" s="394"/>
      <c r="FI259" s="394"/>
      <c r="FJ259" s="159" t="s">
        <v>235</v>
      </c>
      <c r="GB259" s="348">
        <f>DATE(FG244+1,FF244,FE244)</f>
        <v>366</v>
      </c>
      <c r="GC259" s="349">
        <f>IF(WEEKDAY(GB259,2)=6,2,IF(WEEKDAY(GB259,2)=7,1,0))</f>
        <v>0</v>
      </c>
      <c r="GD259" s="349">
        <f>IF(GB259+GC259=GD258,1,0)</f>
        <v>0</v>
      </c>
      <c r="GE259" s="349">
        <f>IF(GB259+GC259=GE258,1,0)</f>
        <v>0</v>
      </c>
      <c r="GF259" s="349">
        <f>IF(GB259+GC259=GF258,1,0)</f>
        <v>0</v>
      </c>
      <c r="GG259" s="349">
        <f>IF(GB259+GC259=GG258,1,0)</f>
        <v>0</v>
      </c>
      <c r="GH259" s="349">
        <f>IF(GB259+GC259=GH258,1,0)</f>
        <v>0</v>
      </c>
      <c r="GI259" s="349">
        <f>IF(GB259+GC259=GI258,1,0)</f>
        <v>0</v>
      </c>
      <c r="GJ259" s="349">
        <f>IF(GB259+GC259=GJ258,1,0)</f>
        <v>0</v>
      </c>
      <c r="GK259" s="349">
        <f>IF(GB259+GC259=GK258,1,0)</f>
        <v>0</v>
      </c>
      <c r="GL259" s="349">
        <f>IF(GB259+GC259=GL258,2,IF(GB259+GC259=GL258+1,1,0))</f>
        <v>0</v>
      </c>
      <c r="GM259" s="349">
        <f>IF(GB259+GC259=GM258,1,0)</f>
        <v>0</v>
      </c>
      <c r="GN259" s="349">
        <f>IF(GB259+GC259=GN258,1,0)</f>
        <v>0</v>
      </c>
      <c r="GO259" s="349">
        <f>IF(WEEKDAY(GB259+SUM(GC259:GN259),2)=6,2,IF(WEEKDAY(GB259+SUM(GC259:GN259),2)=7,1,0))</f>
        <v>0</v>
      </c>
      <c r="GP259" s="350">
        <f>SUM(GB259:GO259)</f>
        <v>366</v>
      </c>
      <c r="GQ259" s="351">
        <f>GP259-GB259</f>
        <v>0</v>
      </c>
      <c r="GS259" s="5"/>
      <c r="GT259" s="5"/>
      <c r="GU259" s="224" t="s">
        <v>40</v>
      </c>
      <c r="GV259" s="224">
        <f>IF(GV257+GV258&lt;10,3,4)</f>
        <v>4</v>
      </c>
      <c r="GW259" s="229"/>
      <c r="GX259" s="5"/>
      <c r="GY259" s="5"/>
      <c r="GZ259" s="5"/>
      <c r="HA259" s="5"/>
      <c r="HB259" s="5"/>
      <c r="HC259" s="5"/>
      <c r="HD259" s="5"/>
      <c r="HE259" s="5"/>
      <c r="HF259" s="5"/>
      <c r="HG259" s="5"/>
      <c r="HH259" s="5"/>
      <c r="HJ259" s="5"/>
      <c r="HK259" s="5"/>
      <c r="HL259" s="224" t="s">
        <v>94</v>
      </c>
      <c r="HM259" s="224">
        <f>MOD(2*HM256+4*HM257+6*HM258+5,7)</f>
        <v>0</v>
      </c>
      <c r="HN259" s="228">
        <f>IF(HM259=6,1,0)</f>
        <v>0</v>
      </c>
      <c r="HO259" s="5"/>
      <c r="HP259" s="5"/>
      <c r="HQ259" s="5"/>
      <c r="HR259" s="5"/>
      <c r="HS259" s="5"/>
      <c r="HT259" s="5"/>
      <c r="HU259" s="5"/>
      <c r="HV259" s="5"/>
      <c r="HW259" s="5"/>
      <c r="HX259" s="5"/>
      <c r="HY259" s="5"/>
      <c r="IA259" s="5"/>
      <c r="IB259" s="5"/>
      <c r="IC259" s="224" t="s">
        <v>93</v>
      </c>
      <c r="ID259" s="224">
        <f>MOD(19*ID256+24,30)</f>
        <v>24</v>
      </c>
      <c r="IE259" s="228">
        <f>IF(ID259=28,1,0)</f>
        <v>0</v>
      </c>
      <c r="IF259" s="5"/>
      <c r="IG259" s="5"/>
      <c r="IH259" s="5"/>
      <c r="II259" s="5"/>
      <c r="IJ259" s="5"/>
      <c r="IK259" s="5"/>
      <c r="IL259" s="5"/>
      <c r="IM259" s="5"/>
      <c r="IN259" s="5"/>
      <c r="IO259" s="5"/>
      <c r="IP259" s="5"/>
    </row>
    <row r="260" spans="1:250" ht="12" hidden="1">
      <c r="A260" s="156">
        <f t="shared" si="80"/>
        <v>1</v>
      </c>
      <c r="DD260" s="73" t="s">
        <v>14</v>
      </c>
      <c r="DE260" s="73"/>
      <c r="DF260" s="73"/>
      <c r="DG260" s="73"/>
      <c r="DH260" s="73"/>
      <c r="DI260" s="73"/>
      <c r="DJ260" s="73"/>
      <c r="DK260" s="73"/>
      <c r="DL260" s="73"/>
      <c r="DM260" s="73"/>
      <c r="DN260" s="73"/>
      <c r="DO260" s="73"/>
      <c r="DP260" s="73"/>
      <c r="DQ260" s="95"/>
      <c r="DR260" s="95"/>
      <c r="DS260" s="95"/>
      <c r="DT260" s="95"/>
      <c r="DU260" s="95"/>
      <c r="DV260" s="95"/>
      <c r="DW260" s="95"/>
      <c r="DX260" s="95"/>
      <c r="DY260" s="95"/>
      <c r="DZ260" s="95"/>
      <c r="EA260" s="95"/>
      <c r="EB260" s="296"/>
      <c r="EC260" s="95"/>
      <c r="ED260" s="489"/>
      <c r="EE260" s="489"/>
      <c r="EF260" s="74"/>
      <c r="EG260" s="489"/>
      <c r="EH260" s="489"/>
      <c r="EI260" s="74"/>
      <c r="EJ260" s="74"/>
      <c r="EK260" s="489"/>
      <c r="EL260" s="489"/>
      <c r="EM260" s="74"/>
      <c r="EN260" s="489"/>
      <c r="EO260" s="489"/>
      <c r="EP260" s="489"/>
      <c r="EQ260" s="489"/>
      <c r="ER260" s="385"/>
      <c r="ES260" s="385"/>
      <c r="ET260" s="489"/>
      <c r="EU260" s="489"/>
      <c r="EV260" s="82"/>
      <c r="EW260" s="82"/>
      <c r="EX260" s="82"/>
      <c r="EY260" s="82"/>
      <c r="EZ260" s="82"/>
      <c r="FA260" s="82"/>
      <c r="FB260" s="82"/>
      <c r="FC260" s="244"/>
      <c r="FD260" s="245"/>
      <c r="GS260" s="5"/>
      <c r="GT260" s="5"/>
      <c r="GU260" s="224" t="s">
        <v>95</v>
      </c>
      <c r="GV260" s="224">
        <f>IF(GV259=3,GV257+GV258+22,IF(GV257+GV258-9=26,19,IF((GV257+GV258-9)*GW260=25,18,GV257+GV258-9)))</f>
        <v>7</v>
      </c>
      <c r="GW260" s="229">
        <f>GW254*GW257*GW258</f>
        <v>0</v>
      </c>
      <c r="GX260" s="5"/>
      <c r="GY260" s="5"/>
      <c r="GZ260" s="5"/>
      <c r="HA260" s="5"/>
      <c r="HB260" s="5"/>
      <c r="HC260" s="5"/>
      <c r="HD260" s="5"/>
      <c r="HE260" s="5"/>
      <c r="HF260" s="5"/>
      <c r="HG260" s="5"/>
      <c r="HH260" s="5"/>
      <c r="HJ260" s="5"/>
      <c r="HK260" s="5"/>
      <c r="HL260" s="224" t="s">
        <v>40</v>
      </c>
      <c r="HM260" s="224">
        <f>IF(HM258+HM259&lt;10,3,4)</f>
        <v>4</v>
      </c>
      <c r="HN260" s="229"/>
      <c r="HO260" s="5"/>
      <c r="HP260" s="5"/>
      <c r="HQ260" s="5"/>
      <c r="HR260" s="5"/>
      <c r="HS260" s="5"/>
      <c r="HT260" s="5"/>
      <c r="HU260" s="5"/>
      <c r="HV260" s="5"/>
      <c r="HW260" s="5"/>
      <c r="HX260" s="5"/>
      <c r="HY260" s="5"/>
      <c r="IA260" s="5"/>
      <c r="IB260" s="5"/>
      <c r="IC260" s="224" t="s">
        <v>94</v>
      </c>
      <c r="ID260" s="224">
        <f>MOD(2*ID257+4*ID258+6*ID259+5,7)</f>
        <v>0</v>
      </c>
      <c r="IE260" s="228">
        <f>IF(ID260=6,1,0)</f>
        <v>0</v>
      </c>
      <c r="IF260" s="5"/>
      <c r="IG260" s="5"/>
      <c r="IH260" s="5"/>
      <c r="II260" s="5"/>
      <c r="IJ260" s="5"/>
      <c r="IK260" s="5"/>
      <c r="IL260" s="5"/>
      <c r="IM260" s="5"/>
      <c r="IN260" s="5"/>
      <c r="IO260" s="5"/>
      <c r="IP260" s="5"/>
    </row>
    <row r="261" spans="1:250" ht="12" hidden="1">
      <c r="A261" s="156">
        <f t="shared" si="80"/>
        <v>1</v>
      </c>
      <c r="DD261" s="73" t="s">
        <v>14</v>
      </c>
      <c r="DE261" s="73"/>
      <c r="DF261" s="73"/>
      <c r="DG261" s="73"/>
      <c r="DH261" s="73"/>
      <c r="DI261" s="73"/>
      <c r="DJ261" s="73"/>
      <c r="DK261" s="73"/>
      <c r="DL261" s="73"/>
      <c r="DM261" s="73"/>
      <c r="DN261" s="73"/>
      <c r="DO261" s="73"/>
      <c r="DP261" s="73"/>
      <c r="DQ261" s="95"/>
      <c r="DR261" s="95"/>
      <c r="DS261" s="95"/>
      <c r="DT261" s="95"/>
      <c r="DU261" s="95"/>
      <c r="DV261" s="95"/>
      <c r="DW261" s="95"/>
      <c r="DX261" s="95"/>
      <c r="DY261" s="95"/>
      <c r="DZ261" s="95"/>
      <c r="EA261" s="95"/>
      <c r="EB261" s="296"/>
      <c r="EC261" s="95"/>
      <c r="ED261" s="489"/>
      <c r="EE261" s="489"/>
      <c r="EF261" s="74"/>
      <c r="EG261" s="489"/>
      <c r="EH261" s="489"/>
      <c r="EI261" s="74"/>
      <c r="EJ261" s="74"/>
      <c r="EK261" s="489"/>
      <c r="EL261" s="489"/>
      <c r="EM261" s="74"/>
      <c r="EN261" s="489"/>
      <c r="EO261" s="489"/>
      <c r="EP261" s="489"/>
      <c r="EQ261" s="489"/>
      <c r="ER261" s="385"/>
      <c r="ES261" s="385"/>
      <c r="ET261" s="489"/>
      <c r="EU261" s="489"/>
      <c r="EV261" s="82"/>
      <c r="EW261" s="82"/>
      <c r="EX261" s="82"/>
      <c r="EY261" s="82"/>
      <c r="EZ261" s="82"/>
      <c r="FA261" s="82"/>
      <c r="FB261" s="82"/>
      <c r="FC261" s="244"/>
      <c r="FD261" s="245"/>
      <c r="FE261" s="55">
        <v>4</v>
      </c>
      <c r="FJ261" s="159" t="s">
        <v>236</v>
      </c>
      <c r="GS261" s="345" t="s">
        <v>96</v>
      </c>
      <c r="GT261" s="346" t="s">
        <v>97</v>
      </c>
      <c r="GU261" s="346">
        <f>DATEVALUE(CONCATENATE("06/01/",YEAR(GS262)))</f>
        <v>372</v>
      </c>
      <c r="GV261" s="346">
        <f>DATEVALUE(CONCATENATE(GV260,"/",GV259,"/",YEAR(GS262)))+1</f>
        <v>464</v>
      </c>
      <c r="GW261" s="346">
        <f>DATEVALUE(CONCATENATE("25/04/",YEAR(GS262)))</f>
        <v>481</v>
      </c>
      <c r="GX261" s="346">
        <f>DATEVALUE(CONCATENATE("01/05/",YEAR(GS262)))</f>
        <v>487</v>
      </c>
      <c r="GY261" s="346">
        <f>DATEVALUE(CONCATENATE("02/06/",YEAR(GS262)))</f>
        <v>519</v>
      </c>
      <c r="GZ261" s="346">
        <f>DATEVALUE(CONCATENATE("15/08/",YEAR(GS262)))</f>
        <v>593</v>
      </c>
      <c r="HA261" s="346">
        <f>DATEVALUE(CONCATENATE("01/11/",YEAR(GS262)))</f>
        <v>671</v>
      </c>
      <c r="HB261" s="346">
        <f>DATEVALUE(CONCATENATE("08/12/",YEAR(GS262)))</f>
        <v>708</v>
      </c>
      <c r="HC261" s="346">
        <f>DATEVALUE(CONCATENATE("25/12/",YEAR(GS262)))</f>
        <v>725</v>
      </c>
      <c r="HD261" s="346">
        <f>DATEVALUE(CONCATENATE("01/01/",YEAR(GS262)+1))</f>
        <v>732</v>
      </c>
      <c r="HE261" s="346">
        <f>DATEVALUE(CONCATENATE("06/01/",YEAR(GS262)+1))</f>
        <v>737</v>
      </c>
      <c r="HF261" s="346" t="s">
        <v>97</v>
      </c>
      <c r="HG261" s="346" t="s">
        <v>98</v>
      </c>
      <c r="HH261" s="347"/>
      <c r="HJ261" s="5"/>
      <c r="HK261" s="5"/>
      <c r="HL261" s="224" t="s">
        <v>95</v>
      </c>
      <c r="HM261" s="224">
        <f>IF(HM260=3,HM258+HM259+22,IF(HM258+HM259-9=26,19,IF((HM258+HM259-9)*HN261=25,18,HM258+HM259-9)))</f>
        <v>15</v>
      </c>
      <c r="HN261" s="229">
        <f>HN255*HN258*HN259</f>
        <v>0</v>
      </c>
      <c r="HO261" s="5"/>
      <c r="HP261" s="5"/>
      <c r="HQ261" s="5"/>
      <c r="HR261" s="5"/>
      <c r="HS261" s="5"/>
      <c r="HT261" s="5"/>
      <c r="HU261" s="5"/>
      <c r="HV261" s="5"/>
      <c r="HW261" s="5"/>
      <c r="HX261" s="5"/>
      <c r="HY261" s="5"/>
      <c r="IA261" s="5"/>
      <c r="IB261" s="5"/>
      <c r="IC261" s="224" t="s">
        <v>40</v>
      </c>
      <c r="ID261" s="224">
        <f>IF(ID259+ID260&lt;10,3,4)</f>
        <v>4</v>
      </c>
      <c r="IE261" s="229"/>
      <c r="IF261" s="5"/>
      <c r="IG261" s="5"/>
      <c r="IH261" s="5"/>
      <c r="II261" s="5"/>
      <c r="IJ261" s="5"/>
      <c r="IK261" s="5"/>
      <c r="IL261" s="5"/>
      <c r="IM261" s="5"/>
      <c r="IN261" s="5"/>
      <c r="IO261" s="5"/>
      <c r="IP261" s="5"/>
    </row>
    <row r="262" spans="1:250" ht="12" hidden="1">
      <c r="A262" s="156">
        <f t="shared" si="80"/>
        <v>1</v>
      </c>
      <c r="DD262" s="73" t="s">
        <v>14</v>
      </c>
      <c r="DE262" s="73"/>
      <c r="DF262" s="73"/>
      <c r="DG262" s="73"/>
      <c r="DH262" s="73"/>
      <c r="DI262" s="73"/>
      <c r="DJ262" s="73"/>
      <c r="DK262" s="73"/>
      <c r="DL262" s="73"/>
      <c r="DM262" s="73"/>
      <c r="DN262" s="73"/>
      <c r="DO262" s="73"/>
      <c r="DP262" s="73"/>
      <c r="DQ262" s="95"/>
      <c r="DR262" s="95"/>
      <c r="DS262" s="95"/>
      <c r="DT262" s="95"/>
      <c r="DU262" s="95"/>
      <c r="DV262" s="95"/>
      <c r="DW262" s="95"/>
      <c r="DX262" s="95"/>
      <c r="DY262" s="95"/>
      <c r="DZ262" s="95"/>
      <c r="EA262" s="95"/>
      <c r="EB262" s="296"/>
      <c r="EC262" s="95"/>
      <c r="ED262" s="489"/>
      <c r="EE262" s="489"/>
      <c r="EF262" s="74"/>
      <c r="EG262" s="489"/>
      <c r="EH262" s="489"/>
      <c r="EI262" s="74"/>
      <c r="EJ262" s="74"/>
      <c r="EK262" s="489"/>
      <c r="EL262" s="489"/>
      <c r="EM262" s="74"/>
      <c r="EN262" s="489"/>
      <c r="EO262" s="489"/>
      <c r="EP262" s="489"/>
      <c r="EQ262" s="489"/>
      <c r="ER262" s="385"/>
      <c r="ES262" s="385"/>
      <c r="ET262" s="489"/>
      <c r="EU262" s="489"/>
      <c r="EV262" s="82"/>
      <c r="EW262" s="82"/>
      <c r="EX262" s="82"/>
      <c r="EY262" s="82"/>
      <c r="EZ262" s="82"/>
      <c r="FA262" s="82"/>
      <c r="FB262" s="82"/>
      <c r="FC262" s="244"/>
      <c r="FD262" s="245"/>
      <c r="FE262" s="55">
        <v>3</v>
      </c>
      <c r="FF262" s="394">
        <f>HG262</f>
        <v>731</v>
      </c>
      <c r="FG262" s="394"/>
      <c r="FH262" s="394"/>
      <c r="FI262" s="394"/>
      <c r="FJ262" s="159" t="s">
        <v>237</v>
      </c>
      <c r="GS262" s="348">
        <f>DATE(FG244+2,FF244,FE244)</f>
        <v>731</v>
      </c>
      <c r="GT262" s="349">
        <f>IF(WEEKDAY(GS262,2)=6,2,IF(WEEKDAY(GS262,2)=7,1,0))</f>
        <v>0</v>
      </c>
      <c r="GU262" s="349">
        <f>IF(GS262+GT262=GU261,1,0)</f>
        <v>0</v>
      </c>
      <c r="GV262" s="349">
        <f>IF(GS262+GT262=GV261,1,0)</f>
        <v>0</v>
      </c>
      <c r="GW262" s="349">
        <f>IF(GS262+GT262=GW261,1,0)</f>
        <v>0</v>
      </c>
      <c r="GX262" s="349">
        <f>IF(GS262+GT262=GX261,1,0)</f>
        <v>0</v>
      </c>
      <c r="GY262" s="349">
        <f>IF(GS262+GT262=GY261,1,0)</f>
        <v>0</v>
      </c>
      <c r="GZ262" s="349">
        <f>IF(GS262+GT262=GZ261,1,0)</f>
        <v>0</v>
      </c>
      <c r="HA262" s="349">
        <f>IF(GS262+GT262=HA261,1,0)</f>
        <v>0</v>
      </c>
      <c r="HB262" s="349">
        <f>IF(GS262+GT262=HB261,1,0)</f>
        <v>0</v>
      </c>
      <c r="HC262" s="349">
        <f>IF(GS262+GT262=HC261,2,IF(GS262+GT262=HC261+1,1,0))</f>
        <v>0</v>
      </c>
      <c r="HD262" s="349">
        <f>IF(GS262+GT262=HD261,1,0)</f>
        <v>0</v>
      </c>
      <c r="HE262" s="349">
        <f>IF(GS262+GT262=HE261,1,0)</f>
        <v>0</v>
      </c>
      <c r="HF262" s="349">
        <f>IF(WEEKDAY(GS262+SUM(GT262:HE262),2)=6,2,IF(WEEKDAY(GS262+SUM(GT262:HE262),2)=7,1,0))</f>
        <v>0</v>
      </c>
      <c r="HG262" s="350">
        <f>SUM(GS262:HF262)</f>
        <v>731</v>
      </c>
      <c r="HH262" s="351">
        <f>HG262-GS262</f>
        <v>0</v>
      </c>
      <c r="HJ262" s="345" t="s">
        <v>96</v>
      </c>
      <c r="HK262" s="346" t="s">
        <v>97</v>
      </c>
      <c r="HL262" s="346">
        <f>DATEVALUE(CONCATENATE("06/01/",YEAR(HJ263)))</f>
        <v>6</v>
      </c>
      <c r="HM262" s="346">
        <f>DATEVALUE(CONCATENATE(HM261,"/",HM260,"/",YEAR(HJ263)))+1</f>
        <v>107</v>
      </c>
      <c r="HN262" s="346">
        <f>DATEVALUE(CONCATENATE("25/04/",YEAR(HJ263)))</f>
        <v>116</v>
      </c>
      <c r="HO262" s="346">
        <f>DATEVALUE(CONCATENATE("01/05/",YEAR(HJ263)))</f>
        <v>122</v>
      </c>
      <c r="HP262" s="346">
        <f>DATEVALUE(CONCATENATE("02/06/",YEAR(HJ263)))</f>
        <v>154</v>
      </c>
      <c r="HQ262" s="346">
        <f>DATEVALUE(CONCATENATE("15/08/",YEAR(HJ263)))</f>
        <v>228</v>
      </c>
      <c r="HR262" s="346">
        <f>DATEVALUE(CONCATENATE("01/11/",YEAR(HJ263)))</f>
        <v>306</v>
      </c>
      <c r="HS262" s="346">
        <f>DATEVALUE(CONCATENATE("08/12/",YEAR(HJ263)))</f>
        <v>343</v>
      </c>
      <c r="HT262" s="346">
        <f>DATEVALUE(CONCATENATE("25/12/",YEAR(HJ263)))</f>
        <v>360</v>
      </c>
      <c r="HU262" s="346">
        <f>DATEVALUE(CONCATENATE("01/01/",YEAR(HJ263)+1))</f>
        <v>367</v>
      </c>
      <c r="HV262" s="346">
        <f>DATEVALUE(CONCATENATE("06/01/",YEAR(HJ263)+1))</f>
        <v>372</v>
      </c>
      <c r="HW262" s="346" t="s">
        <v>97</v>
      </c>
      <c r="HX262" s="346" t="s">
        <v>98</v>
      </c>
      <c r="HY262" s="347"/>
      <c r="IA262" s="5"/>
      <c r="IB262" s="5"/>
      <c r="IC262" s="224" t="s">
        <v>95</v>
      </c>
      <c r="ID262" s="224">
        <f>IF(ID261=3,ID259+ID260+22,IF(ID259+ID260-9=26,19,IF((ID259+ID260-9)*IE262=25,18,ID259+ID260-9)))</f>
        <v>15</v>
      </c>
      <c r="IE262" s="229">
        <f>IE256*IE259*IE260</f>
        <v>0</v>
      </c>
      <c r="IF262" s="5"/>
      <c r="IG262" s="5"/>
      <c r="IH262" s="5"/>
      <c r="II262" s="5"/>
      <c r="IJ262" s="5"/>
      <c r="IK262" s="5"/>
      <c r="IL262" s="5"/>
      <c r="IM262" s="5"/>
      <c r="IN262" s="5"/>
      <c r="IO262" s="5"/>
      <c r="IP262" s="5"/>
    </row>
    <row r="263" spans="1:250" ht="12" hidden="1">
      <c r="A263" s="156">
        <f t="shared" si="80"/>
        <v>1</v>
      </c>
      <c r="DD263" s="73" t="s">
        <v>14</v>
      </c>
      <c r="DE263" s="73"/>
      <c r="DF263" s="73"/>
      <c r="DG263" s="73"/>
      <c r="DH263" s="73"/>
      <c r="DI263" s="73"/>
      <c r="DJ263" s="73"/>
      <c r="DK263" s="73"/>
      <c r="DL263" s="73"/>
      <c r="DM263" s="73"/>
      <c r="DN263" s="73"/>
      <c r="DO263" s="73"/>
      <c r="DP263" s="73"/>
      <c r="DQ263" s="95"/>
      <c r="DR263" s="95"/>
      <c r="DS263" s="95"/>
      <c r="DT263" s="95"/>
      <c r="DU263" s="95"/>
      <c r="DV263" s="95"/>
      <c r="DW263" s="95"/>
      <c r="DX263" s="95"/>
      <c r="DY263" s="95"/>
      <c r="DZ263" s="95"/>
      <c r="EA263" s="95"/>
      <c r="EB263" s="296"/>
      <c r="EC263" s="95"/>
      <c r="ED263" s="489"/>
      <c r="EE263" s="489"/>
      <c r="EF263" s="74"/>
      <c r="EG263" s="489"/>
      <c r="EH263" s="489"/>
      <c r="EI263" s="74"/>
      <c r="EJ263" s="74"/>
      <c r="EK263" s="489"/>
      <c r="EL263" s="489"/>
      <c r="EM263" s="74"/>
      <c r="EN263" s="489"/>
      <c r="EO263" s="489"/>
      <c r="EP263" s="489"/>
      <c r="EQ263" s="489"/>
      <c r="ER263" s="385"/>
      <c r="ES263" s="385"/>
      <c r="ET263" s="489"/>
      <c r="EU263" s="489"/>
      <c r="EV263" s="82"/>
      <c r="EW263" s="82"/>
      <c r="EX263" s="82"/>
      <c r="EY263" s="82"/>
      <c r="EZ263" s="82"/>
      <c r="FA263" s="82"/>
      <c r="FB263" s="82"/>
      <c r="FC263" s="244"/>
      <c r="FD263" s="245"/>
      <c r="FE263" s="55">
        <v>2</v>
      </c>
      <c r="FF263" s="394">
        <f>HX263</f>
        <v>366</v>
      </c>
      <c r="FG263" s="394"/>
      <c r="FH263" s="394"/>
      <c r="FI263" s="394"/>
      <c r="FJ263" s="159" t="s">
        <v>238</v>
      </c>
      <c r="HJ263" s="348">
        <f>DATE(FG244+1,FF244,FE244)</f>
        <v>366</v>
      </c>
      <c r="HK263" s="349">
        <f>IF(WEEKDAY(HJ263,2)=6,2,IF(WEEKDAY(HJ263,2)=7,1,0))</f>
        <v>0</v>
      </c>
      <c r="HL263" s="349">
        <f>IF(HJ263+HK263=HL262,1,0)</f>
        <v>0</v>
      </c>
      <c r="HM263" s="349">
        <f>IF(HJ263+HK263=HM262,1,0)</f>
        <v>0</v>
      </c>
      <c r="HN263" s="349">
        <f>IF(HJ263+HK263=HN262,1,0)</f>
        <v>0</v>
      </c>
      <c r="HO263" s="349">
        <f>IF(HJ263+HK263=HO262,1,0)</f>
        <v>0</v>
      </c>
      <c r="HP263" s="349">
        <f>IF(HJ263+HK263=HP262,1,0)</f>
        <v>0</v>
      </c>
      <c r="HQ263" s="349">
        <f>IF(HJ263+HK263=HQ262,1,0)</f>
        <v>0</v>
      </c>
      <c r="HR263" s="349">
        <f>IF(HJ263+HK263=HR262,1,0)</f>
        <v>0</v>
      </c>
      <c r="HS263" s="349">
        <f>IF(HJ263+HK263=HS262,1,0)</f>
        <v>0</v>
      </c>
      <c r="HT263" s="349">
        <f>IF(HJ263+HK263=HT262,2,IF(HJ263+HK263=HT262+1,1,0))</f>
        <v>0</v>
      </c>
      <c r="HU263" s="349">
        <f>IF(HJ263+HK263=HU262,1,0)</f>
        <v>0</v>
      </c>
      <c r="HV263" s="349">
        <f>IF(HJ263+HK263=HV262,1,0)</f>
        <v>0</v>
      </c>
      <c r="HW263" s="349">
        <f>IF(WEEKDAY(HJ263+SUM(HK263:HV263),2)=6,2,IF(WEEKDAY(HJ263+SUM(HK263:HV263),2)=7,1,0))</f>
        <v>0</v>
      </c>
      <c r="HX263" s="350">
        <f>SUM(HJ263:HW263)</f>
        <v>366</v>
      </c>
      <c r="HY263" s="351">
        <f>HX263-HJ263</f>
        <v>0</v>
      </c>
      <c r="IA263" s="345" t="s">
        <v>96</v>
      </c>
      <c r="IB263" s="346" t="s">
        <v>97</v>
      </c>
      <c r="IC263" s="346">
        <f>DATEVALUE(CONCATENATE("06/01/",YEAR(IA264)))</f>
        <v>6</v>
      </c>
      <c r="ID263" s="346">
        <f>DATEVALUE(CONCATENATE(ID262+1,"/",ID261,"/",YEAR(IA264)))</f>
        <v>107</v>
      </c>
      <c r="IE263" s="346">
        <f>DATEVALUE(CONCATENATE("25/04/",YEAR(IA264)))</f>
        <v>116</v>
      </c>
      <c r="IF263" s="346">
        <f>DATEVALUE(CONCATENATE("01/05/",YEAR(IA264)))</f>
        <v>122</v>
      </c>
      <c r="IG263" s="346">
        <f>DATEVALUE(CONCATENATE("02/06/",YEAR(IA264)))</f>
        <v>154</v>
      </c>
      <c r="IH263" s="346">
        <f>DATEVALUE(CONCATENATE("15/08/",YEAR(IA264)))</f>
        <v>228</v>
      </c>
      <c r="II263" s="346">
        <f>DATEVALUE(CONCATENATE("01/11/",YEAR(IA264)))</f>
        <v>306</v>
      </c>
      <c r="IJ263" s="346">
        <f>DATEVALUE(CONCATENATE("08/12/",YEAR(IA264)))</f>
        <v>343</v>
      </c>
      <c r="IK263" s="346">
        <f>DATEVALUE(CONCATENATE("25/12/",YEAR(IA264)))</f>
        <v>360</v>
      </c>
      <c r="IL263" s="346">
        <f>DATEVALUE(CONCATENATE("01/01/",YEAR(IA264)+1))</f>
        <v>367</v>
      </c>
      <c r="IM263" s="346">
        <f>DATEVALUE(CONCATENATE("06/01/",YEAR(IA264)+1))</f>
        <v>372</v>
      </c>
      <c r="IN263" s="346" t="s">
        <v>97</v>
      </c>
      <c r="IO263" s="346" t="s">
        <v>98</v>
      </c>
      <c r="IP263" s="347"/>
    </row>
    <row r="264" spans="1:250" ht="12" hidden="1">
      <c r="A264" s="156">
        <f t="shared" si="80"/>
        <v>1</v>
      </c>
      <c r="DD264" s="73" t="s">
        <v>14</v>
      </c>
      <c r="DE264" s="73"/>
      <c r="DF264" s="73"/>
      <c r="DG264" s="73"/>
      <c r="DH264" s="73"/>
      <c r="DI264" s="73"/>
      <c r="DJ264" s="73"/>
      <c r="DK264" s="73"/>
      <c r="DL264" s="73"/>
      <c r="DM264" s="73"/>
      <c r="DN264" s="73"/>
      <c r="DO264" s="73"/>
      <c r="DP264" s="73"/>
      <c r="DQ264" s="95"/>
      <c r="DR264" s="95"/>
      <c r="DS264" s="95"/>
      <c r="DT264" s="95"/>
      <c r="DU264" s="95"/>
      <c r="DV264" s="95"/>
      <c r="DW264" s="95"/>
      <c r="DX264" s="95"/>
      <c r="DY264" s="95"/>
      <c r="DZ264" s="95"/>
      <c r="EA264" s="95"/>
      <c r="EB264" s="296"/>
      <c r="EC264" s="95"/>
      <c r="ED264" s="489"/>
      <c r="EE264" s="489"/>
      <c r="EF264" s="74"/>
      <c r="EG264" s="489"/>
      <c r="EH264" s="489"/>
      <c r="EI264" s="74"/>
      <c r="EJ264" s="74"/>
      <c r="EK264" s="489"/>
      <c r="EL264" s="489"/>
      <c r="EM264" s="74"/>
      <c r="EN264" s="489"/>
      <c r="EO264" s="489"/>
      <c r="EP264" s="489"/>
      <c r="EQ264" s="489"/>
      <c r="ER264" s="385"/>
      <c r="ES264" s="385"/>
      <c r="ET264" s="489"/>
      <c r="EU264" s="489"/>
      <c r="EV264" s="82"/>
      <c r="EW264" s="82"/>
      <c r="EX264" s="82"/>
      <c r="EY264" s="82"/>
      <c r="EZ264" s="82"/>
      <c r="FA264" s="82"/>
      <c r="FB264" s="82"/>
      <c r="FC264" s="244"/>
      <c r="FD264" s="245"/>
      <c r="FE264" s="55">
        <v>1</v>
      </c>
      <c r="FF264" s="394">
        <f>IO264</f>
        <v>90</v>
      </c>
      <c r="FG264" s="394"/>
      <c r="FH264" s="394"/>
      <c r="FI264" s="394"/>
      <c r="FJ264" s="159" t="s">
        <v>239</v>
      </c>
      <c r="IA264" s="348">
        <f>DATE(FG244,FF244,FE244+90)</f>
        <v>90</v>
      </c>
      <c r="IB264" s="349">
        <f>IF(WEEKDAY(IA264,2)=6,2,IF(WEEKDAY(IA264,2)=7,1,0))</f>
        <v>0</v>
      </c>
      <c r="IC264" s="349">
        <f>IF(IA264+IB264=IC263,1,0)</f>
        <v>0</v>
      </c>
      <c r="ID264" s="349">
        <f>IF(IA264+IB264=ID263,1,0)</f>
        <v>0</v>
      </c>
      <c r="IE264" s="349">
        <f>IF(IA264+IB264=IE263,1,0)</f>
        <v>0</v>
      </c>
      <c r="IF264" s="349">
        <f>IF(IA264+IB264=IF263,1,0)</f>
        <v>0</v>
      </c>
      <c r="IG264" s="349">
        <f>IF(IA264+IB264=IG263,1,0)</f>
        <v>0</v>
      </c>
      <c r="IH264" s="349">
        <f>IF(IA264+IB264=IH263,1,0)</f>
        <v>0</v>
      </c>
      <c r="II264" s="349">
        <f>IF(IA264+IB264=II263,1,0)</f>
        <v>0</v>
      </c>
      <c r="IJ264" s="349">
        <f>IF(IA264+IB264=IJ263,1,0)</f>
        <v>0</v>
      </c>
      <c r="IK264" s="349">
        <f>IF(IA264+IB264=IK263,2,IF(IA264+IB264=IK263+1,1,0))</f>
        <v>0</v>
      </c>
      <c r="IL264" s="349">
        <f>IF(IA264+IB264=IL263,1,0)</f>
        <v>0</v>
      </c>
      <c r="IM264" s="349">
        <f>IF(IA264+IB264=IM263,1,0)</f>
        <v>0</v>
      </c>
      <c r="IN264" s="349">
        <f>IF(WEEKDAY(IA264+SUM(IB264:IM264),2)=6,2,IF(WEEKDAY(IA264+SUM(IB264:IM264),2)=7,1,0))</f>
        <v>0</v>
      </c>
      <c r="IO264" s="350">
        <f>SUM(IA264:IN264)</f>
        <v>90</v>
      </c>
      <c r="IP264" s="351">
        <f>IO264-IA264</f>
        <v>0</v>
      </c>
    </row>
    <row r="265" spans="1:166" ht="12" hidden="1">
      <c r="A265" s="156">
        <f t="shared" si="80"/>
        <v>1</v>
      </c>
      <c r="DD265" s="73" t="s">
        <v>14</v>
      </c>
      <c r="DE265" s="73"/>
      <c r="DF265" s="73"/>
      <c r="DG265" s="73"/>
      <c r="DH265" s="73"/>
      <c r="DI265" s="73"/>
      <c r="DJ265" s="73"/>
      <c r="DK265" s="73"/>
      <c r="DL265" s="73"/>
      <c r="DM265" s="73"/>
      <c r="DN265" s="73"/>
      <c r="DO265" s="73"/>
      <c r="DP265" s="73"/>
      <c r="DQ265" s="95"/>
      <c r="DR265" s="95"/>
      <c r="DS265" s="95"/>
      <c r="DT265" s="95"/>
      <c r="DU265" s="95"/>
      <c r="DV265" s="95"/>
      <c r="DW265" s="95"/>
      <c r="DX265" s="95"/>
      <c r="DY265" s="95"/>
      <c r="DZ265" s="95"/>
      <c r="EA265" s="95"/>
      <c r="EB265" s="296"/>
      <c r="EC265" s="95"/>
      <c r="ED265" s="74"/>
      <c r="EE265" s="74"/>
      <c r="EF265" s="74"/>
      <c r="EG265" s="74"/>
      <c r="EH265" s="74"/>
      <c r="EI265" s="74"/>
      <c r="EJ265" s="74"/>
      <c r="EK265" s="74"/>
      <c r="EL265" s="74"/>
      <c r="EM265" s="74"/>
      <c r="EN265" s="74"/>
      <c r="EO265" s="74"/>
      <c r="EP265" s="74"/>
      <c r="EQ265" s="74"/>
      <c r="ER265" s="385"/>
      <c r="ES265" s="385"/>
      <c r="ET265" s="489"/>
      <c r="EU265" s="489"/>
      <c r="EV265" s="82"/>
      <c r="EW265" s="82"/>
      <c r="EX265" s="82"/>
      <c r="EY265" s="82"/>
      <c r="EZ265" s="82"/>
      <c r="FA265" s="82"/>
      <c r="FB265" s="82"/>
      <c r="FC265" s="244"/>
      <c r="FD265" s="245"/>
      <c r="FE265" s="55"/>
      <c r="FF265" s="235"/>
      <c r="FG265" s="235"/>
      <c r="FH265" s="235"/>
      <c r="FI265" s="235"/>
      <c r="FJ265" s="159"/>
    </row>
    <row r="266" spans="1:166" ht="12" hidden="1">
      <c r="A266" s="156">
        <f t="shared" si="80"/>
        <v>1</v>
      </c>
      <c r="DD266" s="73" t="s">
        <v>14</v>
      </c>
      <c r="DE266" s="73"/>
      <c r="DF266" s="73"/>
      <c r="DG266" s="73"/>
      <c r="DH266" s="73"/>
      <c r="DI266" s="73"/>
      <c r="DJ266" s="73"/>
      <c r="DK266" s="73"/>
      <c r="DL266" s="73"/>
      <c r="DM266" s="73"/>
      <c r="DN266" s="73"/>
      <c r="DO266" s="73"/>
      <c r="DP266" s="73"/>
      <c r="DQ266" s="95"/>
      <c r="DR266" s="95"/>
      <c r="DS266" s="95"/>
      <c r="DT266" s="95"/>
      <c r="DU266" s="95"/>
      <c r="DV266" s="95"/>
      <c r="DW266" s="95"/>
      <c r="DX266" s="95"/>
      <c r="DY266" s="95"/>
      <c r="DZ266" s="95"/>
      <c r="EA266" s="95"/>
      <c r="EB266" s="296"/>
      <c r="EC266" s="95"/>
      <c r="ED266" s="74"/>
      <c r="EE266" s="74"/>
      <c r="EF266" s="74"/>
      <c r="EG266" s="74"/>
      <c r="EH266" s="74"/>
      <c r="EI266" s="74"/>
      <c r="EJ266" s="74"/>
      <c r="EK266" s="74"/>
      <c r="EL266" s="74"/>
      <c r="EM266" s="74"/>
      <c r="EN266" s="74"/>
      <c r="EO266" s="74"/>
      <c r="EP266" s="74"/>
      <c r="EQ266" s="74"/>
      <c r="ER266" s="385"/>
      <c r="ES266" s="385"/>
      <c r="ET266" s="489"/>
      <c r="EU266" s="489"/>
      <c r="EV266" s="82"/>
      <c r="EW266" s="82"/>
      <c r="EX266" s="82"/>
      <c r="EY266" s="82"/>
      <c r="EZ266" s="82"/>
      <c r="FA266" s="82"/>
      <c r="FB266" s="82"/>
      <c r="FC266" s="244"/>
      <c r="FD266" s="245"/>
      <c r="FE266" s="55"/>
      <c r="FF266" s="235"/>
      <c r="FG266" s="235"/>
      <c r="FH266" s="235"/>
      <c r="FI266" s="235"/>
      <c r="FJ266" s="159"/>
    </row>
    <row r="267" spans="1:166" ht="12" hidden="1">
      <c r="A267" s="156">
        <f t="shared" si="80"/>
        <v>1</v>
      </c>
      <c r="DD267" s="73" t="s">
        <v>14</v>
      </c>
      <c r="DE267" s="73"/>
      <c r="DF267" s="73"/>
      <c r="DG267" s="73"/>
      <c r="DH267" s="73"/>
      <c r="DI267" s="73"/>
      <c r="DJ267" s="73"/>
      <c r="DK267" s="73"/>
      <c r="DL267" s="73"/>
      <c r="DM267" s="73"/>
      <c r="DN267" s="73"/>
      <c r="DO267" s="73"/>
      <c r="DP267" s="73"/>
      <c r="DQ267" s="95"/>
      <c r="DR267" s="95"/>
      <c r="DS267" s="95"/>
      <c r="DT267" s="95"/>
      <c r="DU267" s="95"/>
      <c r="DV267" s="95"/>
      <c r="DW267" s="95"/>
      <c r="DX267" s="95"/>
      <c r="DY267" s="95"/>
      <c r="DZ267" s="95"/>
      <c r="EA267" s="95"/>
      <c r="EB267" s="296"/>
      <c r="EC267" s="95"/>
      <c r="ED267" s="74"/>
      <c r="EE267" s="74"/>
      <c r="EF267" s="74"/>
      <c r="EG267" s="74"/>
      <c r="EH267" s="74"/>
      <c r="EI267" s="74"/>
      <c r="EJ267" s="74"/>
      <c r="EK267" s="74"/>
      <c r="EL267" s="74"/>
      <c r="EM267" s="74"/>
      <c r="EN267" s="74"/>
      <c r="EO267" s="74"/>
      <c r="EP267" s="74"/>
      <c r="EQ267" s="74"/>
      <c r="ER267" s="385"/>
      <c r="ES267" s="385"/>
      <c r="ET267" s="489"/>
      <c r="EU267" s="489"/>
      <c r="EV267" s="82"/>
      <c r="EW267" s="82"/>
      <c r="EX267" s="82"/>
      <c r="EY267" s="82"/>
      <c r="EZ267" s="82"/>
      <c r="FA267" s="82"/>
      <c r="FB267" s="82"/>
      <c r="FC267" s="244"/>
      <c r="FD267" s="245"/>
      <c r="FE267" s="55">
        <v>4</v>
      </c>
      <c r="FJ267" s="159" t="s">
        <v>236</v>
      </c>
    </row>
    <row r="268" spans="1:166" ht="12" hidden="1">
      <c r="A268" s="156">
        <f t="shared" si="80"/>
        <v>1</v>
      </c>
      <c r="DD268" s="73" t="s">
        <v>14</v>
      </c>
      <c r="DE268" s="73"/>
      <c r="DF268" s="73"/>
      <c r="DG268" s="73"/>
      <c r="DH268" s="73"/>
      <c r="DI268" s="73"/>
      <c r="DJ268" s="73"/>
      <c r="DK268" s="73"/>
      <c r="DL268" s="73"/>
      <c r="DM268" s="73"/>
      <c r="DN268" s="73"/>
      <c r="DO268" s="73"/>
      <c r="DP268" s="73"/>
      <c r="DQ268" s="95"/>
      <c r="DR268" s="95"/>
      <c r="DS268" s="95"/>
      <c r="DT268" s="95"/>
      <c r="DU268" s="95"/>
      <c r="DV268" s="95"/>
      <c r="DW268" s="95"/>
      <c r="DX268" s="95"/>
      <c r="DY268" s="95"/>
      <c r="DZ268" s="95"/>
      <c r="EA268" s="95"/>
      <c r="EB268" s="296"/>
      <c r="EC268" s="95"/>
      <c r="ED268" s="74"/>
      <c r="EE268" s="74"/>
      <c r="EF268" s="74"/>
      <c r="EG268" s="74"/>
      <c r="EH268" s="74"/>
      <c r="EI268" s="74"/>
      <c r="EJ268" s="74"/>
      <c r="EK268" s="74"/>
      <c r="EL268" s="74"/>
      <c r="EM268" s="74"/>
      <c r="EN268" s="74"/>
      <c r="EO268" s="74"/>
      <c r="EP268" s="74"/>
      <c r="EQ268" s="74"/>
      <c r="ER268" s="385"/>
      <c r="ES268" s="385"/>
      <c r="ET268" s="489"/>
      <c r="EU268" s="489"/>
      <c r="EV268" s="82"/>
      <c r="EW268" s="82"/>
      <c r="EX268" s="82"/>
      <c r="EY268" s="82"/>
      <c r="EZ268" s="82"/>
      <c r="FA268" s="82"/>
      <c r="FB268" s="82"/>
      <c r="FC268" s="244"/>
      <c r="FD268" s="245"/>
      <c r="FE268" s="55">
        <v>3</v>
      </c>
      <c r="FF268" s="394">
        <f>FF262</f>
        <v>731</v>
      </c>
      <c r="FG268" s="394"/>
      <c r="FH268" s="394"/>
      <c r="FI268" s="394"/>
      <c r="FJ268" s="159" t="s">
        <v>237</v>
      </c>
    </row>
    <row r="269" spans="1:166" ht="12" hidden="1">
      <c r="A269" s="156">
        <f t="shared" si="80"/>
        <v>1</v>
      </c>
      <c r="DD269" s="73" t="s">
        <v>14</v>
      </c>
      <c r="DE269" s="73"/>
      <c r="DF269" s="73"/>
      <c r="DG269" s="73"/>
      <c r="DH269" s="73"/>
      <c r="DI269" s="73"/>
      <c r="DJ269" s="73"/>
      <c r="DK269" s="73"/>
      <c r="DL269" s="73"/>
      <c r="DM269" s="73"/>
      <c r="DN269" s="73"/>
      <c r="DO269" s="73"/>
      <c r="DP269" s="73"/>
      <c r="DQ269" s="95"/>
      <c r="DR269" s="95"/>
      <c r="DS269" s="95"/>
      <c r="DT269" s="95"/>
      <c r="DU269" s="95"/>
      <c r="DV269" s="95"/>
      <c r="DW269" s="95"/>
      <c r="DX269" s="95"/>
      <c r="DY269" s="95"/>
      <c r="DZ269" s="95"/>
      <c r="EA269" s="95"/>
      <c r="EB269" s="296"/>
      <c r="EC269" s="95"/>
      <c r="ED269" s="74"/>
      <c r="EE269" s="74"/>
      <c r="EF269" s="74"/>
      <c r="EG269" s="74"/>
      <c r="EH269" s="74"/>
      <c r="EI269" s="74"/>
      <c r="EJ269" s="74"/>
      <c r="EK269" s="74"/>
      <c r="EL269" s="74"/>
      <c r="EM269" s="74"/>
      <c r="EN269" s="74"/>
      <c r="EO269" s="74"/>
      <c r="EP269" s="74"/>
      <c r="EQ269" s="74"/>
      <c r="ER269" s="385"/>
      <c r="ES269" s="385"/>
      <c r="ET269" s="489"/>
      <c r="EU269" s="489"/>
      <c r="EV269" s="82"/>
      <c r="EW269" s="82"/>
      <c r="EX269" s="82"/>
      <c r="EY269" s="82"/>
      <c r="EZ269" s="82"/>
      <c r="FA269" s="82"/>
      <c r="FB269" s="82"/>
      <c r="FC269" s="244"/>
      <c r="FD269" s="245"/>
      <c r="FE269" s="55">
        <v>2</v>
      </c>
      <c r="FF269" s="394">
        <f>FF263</f>
        <v>366</v>
      </c>
      <c r="FG269" s="394"/>
      <c r="FH269" s="394"/>
      <c r="FI269" s="394"/>
      <c r="FJ269" s="159" t="s">
        <v>238</v>
      </c>
    </row>
    <row r="270" spans="1:166" ht="12" hidden="1">
      <c r="A270" s="156">
        <f t="shared" si="80"/>
        <v>1</v>
      </c>
      <c r="DD270" s="73" t="s">
        <v>14</v>
      </c>
      <c r="DE270" s="73"/>
      <c r="DF270" s="73"/>
      <c r="DG270" s="73"/>
      <c r="DH270" s="73"/>
      <c r="DI270" s="73"/>
      <c r="DJ270" s="73"/>
      <c r="DK270" s="73"/>
      <c r="DL270" s="73"/>
      <c r="DM270" s="73"/>
      <c r="DN270" s="73"/>
      <c r="DO270" s="73"/>
      <c r="DP270" s="73"/>
      <c r="DQ270" s="95"/>
      <c r="DR270" s="95"/>
      <c r="DS270" s="95"/>
      <c r="DT270" s="95"/>
      <c r="DU270" s="95"/>
      <c r="DV270" s="95"/>
      <c r="DW270" s="95"/>
      <c r="DX270" s="95"/>
      <c r="DY270" s="95"/>
      <c r="DZ270" s="95"/>
      <c r="EA270" s="95"/>
      <c r="EB270" s="296"/>
      <c r="EC270" s="95"/>
      <c r="ED270" s="74"/>
      <c r="EE270" s="74"/>
      <c r="EF270" s="74"/>
      <c r="EG270" s="74"/>
      <c r="EH270" s="74"/>
      <c r="EI270" s="74"/>
      <c r="EJ270" s="74"/>
      <c r="EK270" s="74"/>
      <c r="EL270" s="74"/>
      <c r="EM270" s="74"/>
      <c r="EN270" s="74"/>
      <c r="EO270" s="74"/>
      <c r="EP270" s="74"/>
      <c r="EQ270" s="74"/>
      <c r="ER270" s="385"/>
      <c r="ES270" s="385"/>
      <c r="ET270" s="489"/>
      <c r="EU270" s="489"/>
      <c r="EV270" s="82"/>
      <c r="EW270" s="82"/>
      <c r="EX270" s="82"/>
      <c r="EY270" s="82"/>
      <c r="EZ270" s="82"/>
      <c r="FA270" s="82"/>
      <c r="FB270" s="82"/>
      <c r="FC270" s="244"/>
      <c r="FD270" s="245"/>
      <c r="FE270" s="55">
        <v>1</v>
      </c>
      <c r="FF270" s="394">
        <f>FF264</f>
        <v>90</v>
      </c>
      <c r="FG270" s="394"/>
      <c r="FH270" s="394"/>
      <c r="FI270" s="394"/>
      <c r="FJ270" s="159" t="s">
        <v>239</v>
      </c>
    </row>
    <row r="271" spans="1:166" ht="12" hidden="1">
      <c r="A271" s="156">
        <f t="shared" si="80"/>
        <v>1</v>
      </c>
      <c r="DD271" s="73" t="s">
        <v>14</v>
      </c>
      <c r="DE271" s="73"/>
      <c r="DF271" s="73"/>
      <c r="DG271" s="73"/>
      <c r="DH271" s="73"/>
      <c r="DI271" s="73"/>
      <c r="DJ271" s="73"/>
      <c r="DK271" s="73"/>
      <c r="DL271" s="73"/>
      <c r="DM271" s="73"/>
      <c r="DN271" s="73"/>
      <c r="DO271" s="73"/>
      <c r="DP271" s="73"/>
      <c r="DQ271" s="95"/>
      <c r="DR271" s="95"/>
      <c r="DS271" s="95"/>
      <c r="DT271" s="95"/>
      <c r="DU271" s="95"/>
      <c r="DV271" s="95"/>
      <c r="DW271" s="95"/>
      <c r="DX271" s="95"/>
      <c r="DY271" s="95"/>
      <c r="DZ271" s="95"/>
      <c r="EA271" s="95"/>
      <c r="EB271" s="296"/>
      <c r="EC271" s="95"/>
      <c r="ED271" s="74"/>
      <c r="EE271" s="74"/>
      <c r="EF271" s="74"/>
      <c r="EG271" s="74"/>
      <c r="EH271" s="74"/>
      <c r="EI271" s="74"/>
      <c r="EJ271" s="74"/>
      <c r="EK271" s="74"/>
      <c r="EL271" s="74"/>
      <c r="EM271" s="74"/>
      <c r="EN271" s="74"/>
      <c r="EO271" s="74"/>
      <c r="EP271" s="74"/>
      <c r="EQ271" s="74"/>
      <c r="ER271" s="385"/>
      <c r="ES271" s="385"/>
      <c r="ET271" s="489"/>
      <c r="EU271" s="489"/>
      <c r="EV271" s="82"/>
      <c r="EW271" s="82"/>
      <c r="EX271" s="82"/>
      <c r="EY271" s="82"/>
      <c r="EZ271" s="82"/>
      <c r="FA271" s="82"/>
      <c r="FB271" s="82"/>
      <c r="FC271" s="244"/>
      <c r="FD271" s="245"/>
      <c r="FE271" s="55"/>
      <c r="FF271" s="235"/>
      <c r="FG271" s="235"/>
      <c r="FH271" s="235"/>
      <c r="FI271" s="235"/>
      <c r="FJ271" s="159"/>
    </row>
    <row r="272" spans="1:166" ht="12" hidden="1">
      <c r="A272" s="156">
        <f t="shared" si="80"/>
        <v>1</v>
      </c>
      <c r="DD272" s="73" t="s">
        <v>14</v>
      </c>
      <c r="DE272" s="73"/>
      <c r="DF272" s="73"/>
      <c r="DG272" s="73"/>
      <c r="DH272" s="73"/>
      <c r="DI272" s="73"/>
      <c r="DJ272" s="73"/>
      <c r="DK272" s="73"/>
      <c r="DL272" s="73"/>
      <c r="DM272" s="73"/>
      <c r="DN272" s="73"/>
      <c r="DO272" s="73"/>
      <c r="DP272" s="73"/>
      <c r="DQ272" s="95"/>
      <c r="DR272" s="95"/>
      <c r="DS272" s="95"/>
      <c r="DT272" s="95"/>
      <c r="DU272" s="95"/>
      <c r="DV272" s="95"/>
      <c r="DW272" s="95"/>
      <c r="DX272" s="95"/>
      <c r="DY272" s="95"/>
      <c r="DZ272" s="95"/>
      <c r="EA272" s="95"/>
      <c r="EB272" s="296"/>
      <c r="EC272" s="95"/>
      <c r="ED272" s="74"/>
      <c r="EE272" s="74"/>
      <c r="EF272" s="74"/>
      <c r="EG272" s="74"/>
      <c r="EH272" s="74"/>
      <c r="EI272" s="74"/>
      <c r="EJ272" s="74"/>
      <c r="EK272" s="74"/>
      <c r="EL272" s="74"/>
      <c r="EM272" s="74"/>
      <c r="EN272" s="74"/>
      <c r="EO272" s="74"/>
      <c r="EP272" s="74"/>
      <c r="EQ272" s="74"/>
      <c r="ER272" s="385"/>
      <c r="ES272" s="385"/>
      <c r="ET272" s="489"/>
      <c r="EU272" s="489"/>
      <c r="EV272" s="82"/>
      <c r="EW272" s="82"/>
      <c r="EX272" s="82"/>
      <c r="EY272" s="82"/>
      <c r="EZ272" s="82"/>
      <c r="FA272" s="82"/>
      <c r="FB272" s="82"/>
      <c r="FC272" s="244"/>
      <c r="FD272" s="245"/>
      <c r="FE272" s="55"/>
      <c r="FF272" s="235"/>
      <c r="FG272" s="235"/>
      <c r="FH272" s="235"/>
      <c r="FI272" s="235"/>
      <c r="FJ272" s="159"/>
    </row>
    <row r="273" spans="1:166" ht="12" hidden="1">
      <c r="A273" s="156">
        <f t="shared" si="80"/>
        <v>1</v>
      </c>
      <c r="DD273" s="73" t="s">
        <v>14</v>
      </c>
      <c r="DE273" s="73"/>
      <c r="DF273" s="73"/>
      <c r="DG273" s="73"/>
      <c r="DH273" s="73"/>
      <c r="DI273" s="73"/>
      <c r="DJ273" s="73"/>
      <c r="DK273" s="73"/>
      <c r="DL273" s="73"/>
      <c r="DM273" s="73"/>
      <c r="DN273" s="73"/>
      <c r="DO273" s="73"/>
      <c r="DP273" s="73"/>
      <c r="DQ273" s="95"/>
      <c r="DR273" s="95"/>
      <c r="DS273" s="95"/>
      <c r="DT273" s="95"/>
      <c r="DU273" s="95"/>
      <c r="DV273" s="95"/>
      <c r="DW273" s="95"/>
      <c r="DX273" s="95"/>
      <c r="DY273" s="95"/>
      <c r="DZ273" s="95"/>
      <c r="EA273" s="95"/>
      <c r="EB273" s="296"/>
      <c r="EC273" s="95"/>
      <c r="ED273" s="74"/>
      <c r="EE273" s="74"/>
      <c r="EF273" s="74"/>
      <c r="EG273" s="74"/>
      <c r="EH273" s="74"/>
      <c r="EI273" s="74"/>
      <c r="EJ273" s="74"/>
      <c r="EK273" s="74"/>
      <c r="EL273" s="74"/>
      <c r="EM273" s="74"/>
      <c r="EN273" s="74"/>
      <c r="EO273" s="74"/>
      <c r="EP273" s="74"/>
      <c r="EQ273" s="74"/>
      <c r="ER273" s="385"/>
      <c r="ES273" s="385"/>
      <c r="ET273" s="489"/>
      <c r="EU273" s="489"/>
      <c r="EV273" s="82"/>
      <c r="EW273" s="82"/>
      <c r="EX273" s="82"/>
      <c r="EY273" s="82"/>
      <c r="EZ273" s="82"/>
      <c r="FA273" s="82"/>
      <c r="FB273" s="82"/>
      <c r="FC273" s="244"/>
      <c r="FD273" s="245"/>
      <c r="FE273" s="55"/>
      <c r="FF273" s="235"/>
      <c r="FG273" s="235"/>
      <c r="FH273" s="235"/>
      <c r="FI273" s="235"/>
      <c r="FJ273" s="159"/>
    </row>
    <row r="274" spans="1:166" ht="12" hidden="1">
      <c r="A274" s="156">
        <f t="shared" si="80"/>
        <v>1</v>
      </c>
      <c r="DD274" s="73" t="s">
        <v>14</v>
      </c>
      <c r="DE274" s="73"/>
      <c r="DF274" s="73"/>
      <c r="DG274" s="73"/>
      <c r="DH274" s="73"/>
      <c r="DI274" s="73"/>
      <c r="DJ274" s="73"/>
      <c r="DK274" s="73"/>
      <c r="DL274" s="73"/>
      <c r="DM274" s="73"/>
      <c r="DN274" s="73"/>
      <c r="DO274" s="73"/>
      <c r="DP274" s="73"/>
      <c r="DQ274" s="95"/>
      <c r="DR274" s="95"/>
      <c r="DS274" s="95"/>
      <c r="DT274" s="95"/>
      <c r="DU274" s="95"/>
      <c r="DV274" s="95"/>
      <c r="DW274" s="95"/>
      <c r="DX274" s="95"/>
      <c r="DY274" s="95"/>
      <c r="DZ274" s="95"/>
      <c r="EA274" s="95"/>
      <c r="EB274" s="296"/>
      <c r="EC274" s="95"/>
      <c r="ED274" s="74"/>
      <c r="EE274" s="74"/>
      <c r="EF274" s="74"/>
      <c r="EG274" s="74"/>
      <c r="EH274" s="74"/>
      <c r="EI274" s="74"/>
      <c r="EJ274" s="74"/>
      <c r="EK274" s="74"/>
      <c r="EL274" s="74"/>
      <c r="EM274" s="74"/>
      <c r="EN274" s="74"/>
      <c r="EO274" s="74"/>
      <c r="EP274" s="74"/>
      <c r="EQ274" s="74"/>
      <c r="ER274" s="385"/>
      <c r="ES274" s="385"/>
      <c r="ET274" s="489"/>
      <c r="EU274" s="489"/>
      <c r="EV274" s="82"/>
      <c r="EW274" s="82"/>
      <c r="EX274" s="82"/>
      <c r="EY274" s="82"/>
      <c r="EZ274" s="82"/>
      <c r="FA274" s="82"/>
      <c r="FB274" s="82"/>
      <c r="FC274" s="244"/>
      <c r="FD274" s="245"/>
      <c r="FE274" s="55"/>
      <c r="FF274" s="235"/>
      <c r="FG274" s="235"/>
      <c r="FH274" s="235"/>
      <c r="FI274" s="235"/>
      <c r="FJ274" s="159"/>
    </row>
    <row r="275" spans="1:160" ht="12" hidden="1">
      <c r="A275" s="156">
        <f t="shared" si="80"/>
        <v>1</v>
      </c>
      <c r="DD275" s="73" t="s">
        <v>14</v>
      </c>
      <c r="DE275" s="73"/>
      <c r="DF275" s="73"/>
      <c r="DG275" s="73"/>
      <c r="DH275" s="73"/>
      <c r="DI275" s="73"/>
      <c r="DJ275" s="73"/>
      <c r="DK275" s="73"/>
      <c r="DL275" s="73"/>
      <c r="DM275" s="73"/>
      <c r="DN275" s="73"/>
      <c r="DO275" s="73"/>
      <c r="DP275" s="73"/>
      <c r="DQ275" s="249"/>
      <c r="DR275" s="249"/>
      <c r="DS275" s="249"/>
      <c r="DT275" s="249"/>
      <c r="DU275" s="249"/>
      <c r="DV275" s="249"/>
      <c r="DW275" s="249"/>
      <c r="DX275" s="249"/>
      <c r="DY275" s="249"/>
      <c r="DZ275" s="249"/>
      <c r="EA275" s="249"/>
      <c r="EB275" s="297"/>
      <c r="EC275" s="249"/>
      <c r="ED275" s="495"/>
      <c r="EE275" s="495"/>
      <c r="EF275" s="248"/>
      <c r="EG275" s="495"/>
      <c r="EH275" s="495"/>
      <c r="EI275" s="248"/>
      <c r="EJ275" s="248"/>
      <c r="EK275" s="495"/>
      <c r="EL275" s="495"/>
      <c r="EM275" s="248"/>
      <c r="EN275" s="495"/>
      <c r="EO275" s="495"/>
      <c r="EP275" s="495"/>
      <c r="EQ275" s="495"/>
      <c r="ER275" s="390"/>
      <c r="ES275" s="390"/>
      <c r="ET275" s="495"/>
      <c r="EU275" s="495"/>
      <c r="EV275" s="164"/>
      <c r="EW275" s="164"/>
      <c r="EX275" s="164"/>
      <c r="EY275" s="164"/>
      <c r="EZ275" s="164"/>
      <c r="FA275" s="164"/>
      <c r="FB275" s="164"/>
      <c r="FC275" s="244"/>
      <c r="FD275" s="245"/>
    </row>
    <row r="276" spans="1:160" ht="12" hidden="1">
      <c r="A276" s="156">
        <f t="shared" si="80"/>
        <v>1</v>
      </c>
      <c r="DD276" s="76"/>
      <c r="DE276" s="76"/>
      <c r="DF276" s="76"/>
      <c r="DG276" s="76"/>
      <c r="DH276" s="76"/>
      <c r="DI276" s="76"/>
      <c r="DJ276" s="76"/>
      <c r="DK276" s="76"/>
      <c r="DL276" s="76"/>
      <c r="DM276" s="76"/>
      <c r="DN276" s="76"/>
      <c r="DO276" s="76"/>
      <c r="DP276" s="76"/>
      <c r="DQ276" s="76"/>
      <c r="DR276" s="76"/>
      <c r="DS276" s="76"/>
      <c r="DT276" s="76"/>
      <c r="DU276" s="76"/>
      <c r="DV276" s="76"/>
      <c r="DW276" s="76"/>
      <c r="DX276" s="76"/>
      <c r="DY276" s="76"/>
      <c r="DZ276" s="76"/>
      <c r="EA276" s="76"/>
      <c r="EB276" s="81"/>
      <c r="EC276" s="76"/>
      <c r="ED276" s="489"/>
      <c r="EE276" s="489"/>
      <c r="EF276" s="74"/>
      <c r="EG276" s="489"/>
      <c r="EH276" s="489"/>
      <c r="EI276" s="74"/>
      <c r="EJ276" s="74"/>
      <c r="EK276" s="489"/>
      <c r="EL276" s="489"/>
      <c r="EM276" s="74"/>
      <c r="EN276" s="489"/>
      <c r="EO276" s="489"/>
      <c r="EP276" s="489"/>
      <c r="EQ276" s="489"/>
      <c r="ER276" s="691">
        <f>ER208</f>
        <v>43858</v>
      </c>
      <c r="ES276" s="692"/>
      <c r="ET276" s="489"/>
      <c r="EU276" s="489"/>
      <c r="EV276" s="196"/>
      <c r="EW276" s="196"/>
      <c r="EX276" s="196"/>
      <c r="EY276" s="196"/>
      <c r="EZ276" s="196"/>
      <c r="FA276" s="196"/>
      <c r="FB276" s="196"/>
      <c r="FC276" s="244"/>
      <c r="FD276" s="245"/>
    </row>
    <row r="277" spans="1:160" ht="12" hidden="1">
      <c r="A277" s="156">
        <f t="shared" si="80"/>
        <v>1</v>
      </c>
      <c r="FC277" s="244"/>
      <c r="FD277" s="245"/>
    </row>
    <row r="278" spans="1:164" ht="12" hidden="1">
      <c r="A278" s="156">
        <f t="shared" si="80"/>
        <v>1</v>
      </c>
      <c r="DD278" s="127" t="str">
        <f>P113</f>
        <v>IMU, TASI, TARI</v>
      </c>
      <c r="DE278" s="128"/>
      <c r="DF278" s="128"/>
      <c r="DG278" s="128"/>
      <c r="DH278" s="128"/>
      <c r="DI278" s="128"/>
      <c r="DJ278" s="128"/>
      <c r="DK278" s="128"/>
      <c r="DL278" s="128"/>
      <c r="DM278" s="128"/>
      <c r="DN278" s="128"/>
      <c r="DO278" s="128"/>
      <c r="DP278" s="129"/>
      <c r="DQ278" s="397" t="s">
        <v>32</v>
      </c>
      <c r="DR278" s="397"/>
      <c r="DS278" s="52" t="s">
        <v>33</v>
      </c>
      <c r="DT278" s="397" t="s">
        <v>34</v>
      </c>
      <c r="DU278" s="397"/>
      <c r="DV278" s="52" t="s">
        <v>48</v>
      </c>
      <c r="DW278" s="52" t="s">
        <v>33</v>
      </c>
      <c r="DX278" s="397" t="s">
        <v>36</v>
      </c>
      <c r="DY278" s="397"/>
      <c r="DZ278" s="52" t="s">
        <v>33</v>
      </c>
      <c r="EA278" s="4" t="s">
        <v>49</v>
      </c>
      <c r="EB278" s="81"/>
      <c r="EC278" s="4" t="s">
        <v>49</v>
      </c>
      <c r="ED278" s="397" t="s">
        <v>32</v>
      </c>
      <c r="EE278" s="397"/>
      <c r="EF278" s="52" t="s">
        <v>33</v>
      </c>
      <c r="EG278" s="397" t="s">
        <v>34</v>
      </c>
      <c r="EH278" s="397"/>
      <c r="EI278" s="52" t="s">
        <v>48</v>
      </c>
      <c r="EJ278" s="52" t="s">
        <v>33</v>
      </c>
      <c r="EK278" s="397" t="s">
        <v>36</v>
      </c>
      <c r="EL278" s="397"/>
      <c r="EM278" s="52" t="s">
        <v>33</v>
      </c>
      <c r="EN278" s="397" t="s">
        <v>37</v>
      </c>
      <c r="EO278" s="397"/>
      <c r="EP278" s="397" t="s">
        <v>38</v>
      </c>
      <c r="EQ278" s="397"/>
      <c r="ER278" s="397" t="s">
        <v>38</v>
      </c>
      <c r="ES278" s="397"/>
      <c r="ET278" s="397" t="s">
        <v>38</v>
      </c>
      <c r="EU278" s="397"/>
      <c r="EV278" s="395">
        <f>EX278-1</f>
        <v>2018</v>
      </c>
      <c r="EW278" s="395"/>
      <c r="EX278" s="395">
        <f>EZ278-1</f>
        <v>2019</v>
      </c>
      <c r="EY278" s="395"/>
      <c r="EZ278" s="395">
        <f>EZ244</f>
        <v>2020</v>
      </c>
      <c r="FA278" s="395"/>
      <c r="FB278" s="52" t="s">
        <v>39</v>
      </c>
      <c r="FC278" s="244"/>
      <c r="FD278" s="245"/>
      <c r="FE278" s="178">
        <f>FE244</f>
        <v>0</v>
      </c>
      <c r="FF278" s="178">
        <f>FF244</f>
        <v>1</v>
      </c>
      <c r="FG278" s="673">
        <f>FG244</f>
        <v>1900</v>
      </c>
      <c r="FH278" s="673"/>
    </row>
    <row r="279" spans="1:160" ht="12" hidden="1">
      <c r="A279" s="156">
        <f t="shared" si="80"/>
        <v>1</v>
      </c>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4"/>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244"/>
      <c r="FD279" s="245"/>
    </row>
    <row r="280" spans="1:166" ht="12" hidden="1">
      <c r="A280" s="156">
        <f t="shared" si="80"/>
        <v>1</v>
      </c>
      <c r="DD280" s="78" t="s">
        <v>240</v>
      </c>
      <c r="DE280" s="78"/>
      <c r="DF280" s="78"/>
      <c r="DG280" s="78"/>
      <c r="DH280" s="78"/>
      <c r="DI280" s="78"/>
      <c r="DJ280" s="78"/>
      <c r="DK280" s="78"/>
      <c r="DL280" s="78"/>
      <c r="DM280" s="78"/>
      <c r="DN280" s="78"/>
      <c r="DO280" s="78"/>
      <c r="DP280" s="78"/>
      <c r="DQ280" s="486" t="str">
        <f aca="true" t="shared" si="94" ref="DQ280:DQ296">LEFT(DD280,4)</f>
        <v>3912</v>
      </c>
      <c r="DR280" s="486"/>
      <c r="DS280" s="79">
        <v>5</v>
      </c>
      <c r="DT280" s="486" t="str">
        <f aca="true" t="shared" si="95" ref="DT280:DT289">DQ280</f>
        <v>3912</v>
      </c>
      <c r="DU280" s="486"/>
      <c r="DV280" s="79">
        <v>3</v>
      </c>
      <c r="DW280" s="79">
        <f aca="true" t="shared" si="96" ref="DW280:DW296">DS280</f>
        <v>5</v>
      </c>
      <c r="DX280" s="486" t="str">
        <f aca="true" t="shared" si="97" ref="DX280:DX289">DQ280</f>
        <v>3912</v>
      </c>
      <c r="DY280" s="486"/>
      <c r="DZ280" s="79">
        <f aca="true" t="shared" si="98" ref="DZ280:DZ296">DS280</f>
        <v>5</v>
      </c>
      <c r="EA280" s="80">
        <f>EA246</f>
        <v>1</v>
      </c>
      <c r="EB280" s="295"/>
      <c r="EC280" s="80">
        <f aca="true" t="shared" si="99" ref="EC280:EC296">IF(M107=DQ280,1,0)*EA280</f>
        <v>0</v>
      </c>
      <c r="ED280" s="486">
        <f aca="true" t="shared" si="100" ref="ED280:ED296">DQ280*EC280</f>
        <v>0</v>
      </c>
      <c r="EE280" s="486"/>
      <c r="EF280" s="79">
        <f aca="true" t="shared" si="101" ref="EF280:EF296">DS280*EC280</f>
        <v>0</v>
      </c>
      <c r="EG280" s="486">
        <f aca="true" t="shared" si="102" ref="EG280:EG296">DT280*EC280</f>
        <v>0</v>
      </c>
      <c r="EH280" s="486"/>
      <c r="EI280" s="79">
        <f aca="true" t="shared" si="103" ref="EI280:EI296">DV280*EC280</f>
        <v>0</v>
      </c>
      <c r="EJ280" s="79">
        <f aca="true" t="shared" si="104" ref="EJ280:EJ296">DW280*EC280</f>
        <v>0</v>
      </c>
      <c r="EK280" s="486">
        <f aca="true" t="shared" si="105" ref="EK280:EK296">DX280*EC280</f>
        <v>0</v>
      </c>
      <c r="EL280" s="486"/>
      <c r="EM280" s="79">
        <f aca="true" t="shared" si="106" ref="EM280:EM296">DZ280*EC280</f>
        <v>0</v>
      </c>
      <c r="EN280" s="486">
        <v>0</v>
      </c>
      <c r="EO280" s="486"/>
      <c r="EP280" s="486">
        <f aca="true" t="shared" si="107" ref="EP280:EP296">IF(ER280&lt;&gt;0,EC280*ER280,0)</f>
        <v>0</v>
      </c>
      <c r="EQ280" s="486"/>
      <c r="ER280" s="385">
        <f>ER246</f>
        <v>0</v>
      </c>
      <c r="ES280" s="385"/>
      <c r="ET280" s="486">
        <f aca="true" t="shared" si="108" ref="ET280:ET296">EC280*ER280</f>
        <v>0</v>
      </c>
      <c r="EU280" s="486"/>
      <c r="EV280" s="82"/>
      <c r="EW280" s="82"/>
      <c r="EX280" s="82"/>
      <c r="EY280" s="82"/>
      <c r="EZ280" s="82"/>
      <c r="FA280" s="82"/>
      <c r="FB280" s="82"/>
      <c r="FC280" s="244"/>
      <c r="FD280" s="245"/>
      <c r="FE280" s="55">
        <v>99</v>
      </c>
      <c r="FJ280" s="159" t="s">
        <v>235</v>
      </c>
    </row>
    <row r="281" spans="1:166" ht="12" hidden="1">
      <c r="A281" s="156">
        <f t="shared" si="80"/>
        <v>1</v>
      </c>
      <c r="DD281" s="78" t="s">
        <v>241</v>
      </c>
      <c r="DE281" s="78"/>
      <c r="DF281" s="78"/>
      <c r="DG281" s="78"/>
      <c r="DH281" s="78"/>
      <c r="DI281" s="78"/>
      <c r="DJ281" s="78"/>
      <c r="DK281" s="78"/>
      <c r="DL281" s="78"/>
      <c r="DM281" s="78"/>
      <c r="DN281" s="78"/>
      <c r="DO281" s="78"/>
      <c r="DP281" s="78"/>
      <c r="DQ281" s="486" t="str">
        <f t="shared" si="94"/>
        <v>3913</v>
      </c>
      <c r="DR281" s="486"/>
      <c r="DS281" s="79">
        <v>5</v>
      </c>
      <c r="DT281" s="486" t="str">
        <f t="shared" si="95"/>
        <v>3913</v>
      </c>
      <c r="DU281" s="486"/>
      <c r="DV281" s="79">
        <v>3</v>
      </c>
      <c r="DW281" s="79">
        <f t="shared" si="96"/>
        <v>5</v>
      </c>
      <c r="DX281" s="486" t="str">
        <f t="shared" si="97"/>
        <v>3913</v>
      </c>
      <c r="DY281" s="486"/>
      <c r="DZ281" s="79">
        <f t="shared" si="98"/>
        <v>5</v>
      </c>
      <c r="EA281" s="80">
        <f aca="true" t="shared" si="109" ref="EA281:EA296">EA280</f>
        <v>1</v>
      </c>
      <c r="EB281" s="295"/>
      <c r="EC281" s="80">
        <f t="shared" si="99"/>
        <v>0</v>
      </c>
      <c r="ED281" s="486">
        <f t="shared" si="100"/>
        <v>0</v>
      </c>
      <c r="EE281" s="486"/>
      <c r="EF281" s="79">
        <f t="shared" si="101"/>
        <v>0</v>
      </c>
      <c r="EG281" s="486">
        <f t="shared" si="102"/>
        <v>0</v>
      </c>
      <c r="EH281" s="486"/>
      <c r="EI281" s="79">
        <f t="shared" si="103"/>
        <v>0</v>
      </c>
      <c r="EJ281" s="79">
        <f t="shared" si="104"/>
        <v>0</v>
      </c>
      <c r="EK281" s="486">
        <f t="shared" si="105"/>
        <v>0</v>
      </c>
      <c r="EL281" s="486"/>
      <c r="EM281" s="79">
        <f t="shared" si="106"/>
        <v>0</v>
      </c>
      <c r="EN281" s="486">
        <v>0</v>
      </c>
      <c r="EO281" s="486"/>
      <c r="EP281" s="486">
        <f t="shared" si="107"/>
        <v>0</v>
      </c>
      <c r="EQ281" s="486"/>
      <c r="ER281" s="385">
        <f aca="true" t="shared" si="110" ref="ER281:ER296">ER280</f>
        <v>0</v>
      </c>
      <c r="ES281" s="385"/>
      <c r="ET281" s="486">
        <f t="shared" si="108"/>
        <v>0</v>
      </c>
      <c r="EU281" s="486"/>
      <c r="EV281" s="82"/>
      <c r="EW281" s="82"/>
      <c r="EX281" s="82"/>
      <c r="EY281" s="82"/>
      <c r="EZ281" s="82"/>
      <c r="FA281" s="82"/>
      <c r="FB281" s="82"/>
      <c r="FC281" s="244"/>
      <c r="FD281" s="245"/>
      <c r="FE281" s="55">
        <v>2</v>
      </c>
      <c r="FF281" s="394">
        <f>FF263</f>
        <v>366</v>
      </c>
      <c r="FG281" s="394"/>
      <c r="FH281" s="394"/>
      <c r="FI281" s="394"/>
      <c r="FJ281" s="159" t="s">
        <v>242</v>
      </c>
    </row>
    <row r="282" spans="1:166" ht="12" hidden="1">
      <c r="A282" s="156">
        <f t="shared" si="80"/>
        <v>1</v>
      </c>
      <c r="DD282" s="78" t="s">
        <v>243</v>
      </c>
      <c r="DE282" s="78"/>
      <c r="DF282" s="78"/>
      <c r="DG282" s="78"/>
      <c r="DH282" s="78"/>
      <c r="DI282" s="78"/>
      <c r="DJ282" s="78"/>
      <c r="DK282" s="78"/>
      <c r="DL282" s="78"/>
      <c r="DM282" s="78"/>
      <c r="DN282" s="78"/>
      <c r="DO282" s="78"/>
      <c r="DP282" s="78"/>
      <c r="DQ282" s="486" t="str">
        <f t="shared" si="94"/>
        <v>3914</v>
      </c>
      <c r="DR282" s="486"/>
      <c r="DS282" s="79">
        <v>5</v>
      </c>
      <c r="DT282" s="486" t="str">
        <f t="shared" si="95"/>
        <v>3914</v>
      </c>
      <c r="DU282" s="486"/>
      <c r="DV282" s="79">
        <v>3</v>
      </c>
      <c r="DW282" s="79">
        <f t="shared" si="96"/>
        <v>5</v>
      </c>
      <c r="DX282" s="486" t="str">
        <f t="shared" si="97"/>
        <v>3914</v>
      </c>
      <c r="DY282" s="486"/>
      <c r="DZ282" s="79">
        <f t="shared" si="98"/>
        <v>5</v>
      </c>
      <c r="EA282" s="80">
        <f t="shared" si="109"/>
        <v>1</v>
      </c>
      <c r="EB282" s="295"/>
      <c r="EC282" s="80">
        <f t="shared" si="99"/>
        <v>0</v>
      </c>
      <c r="ED282" s="486">
        <f t="shared" si="100"/>
        <v>0</v>
      </c>
      <c r="EE282" s="486"/>
      <c r="EF282" s="79">
        <f t="shared" si="101"/>
        <v>0</v>
      </c>
      <c r="EG282" s="486">
        <f t="shared" si="102"/>
        <v>0</v>
      </c>
      <c r="EH282" s="486"/>
      <c r="EI282" s="79">
        <f t="shared" si="103"/>
        <v>0</v>
      </c>
      <c r="EJ282" s="79">
        <f t="shared" si="104"/>
        <v>0</v>
      </c>
      <c r="EK282" s="486">
        <f t="shared" si="105"/>
        <v>0</v>
      </c>
      <c r="EL282" s="486"/>
      <c r="EM282" s="79">
        <f t="shared" si="106"/>
        <v>0</v>
      </c>
      <c r="EN282" s="486">
        <v>0</v>
      </c>
      <c r="EO282" s="486"/>
      <c r="EP282" s="486">
        <f t="shared" si="107"/>
        <v>0</v>
      </c>
      <c r="EQ282" s="486"/>
      <c r="ER282" s="385">
        <f t="shared" si="110"/>
        <v>0</v>
      </c>
      <c r="ES282" s="385"/>
      <c r="ET282" s="486">
        <f t="shared" si="108"/>
        <v>0</v>
      </c>
      <c r="EU282" s="486"/>
      <c r="EV282" s="82"/>
      <c r="EW282" s="82"/>
      <c r="EX282" s="82"/>
      <c r="EY282" s="82"/>
      <c r="EZ282" s="82"/>
      <c r="FA282" s="82"/>
      <c r="FB282" s="82"/>
      <c r="FC282" s="244"/>
      <c r="FD282" s="245"/>
      <c r="FE282" s="55">
        <v>1</v>
      </c>
      <c r="FF282" s="394">
        <f>FF264</f>
        <v>90</v>
      </c>
      <c r="FG282" s="394"/>
      <c r="FH282" s="394"/>
      <c r="FI282" s="394"/>
      <c r="FJ282" s="159" t="s">
        <v>244</v>
      </c>
    </row>
    <row r="283" spans="1:166" ht="12" hidden="1">
      <c r="A283" s="156">
        <f t="shared" si="80"/>
        <v>1</v>
      </c>
      <c r="DD283" s="78" t="s">
        <v>245</v>
      </c>
      <c r="DE283" s="78"/>
      <c r="DF283" s="78"/>
      <c r="DG283" s="78"/>
      <c r="DH283" s="78"/>
      <c r="DI283" s="78"/>
      <c r="DJ283" s="78"/>
      <c r="DK283" s="78"/>
      <c r="DL283" s="78"/>
      <c r="DM283" s="78"/>
      <c r="DN283" s="78"/>
      <c r="DO283" s="78"/>
      <c r="DP283" s="78"/>
      <c r="DQ283" s="486" t="str">
        <f t="shared" si="94"/>
        <v>3915</v>
      </c>
      <c r="DR283" s="486"/>
      <c r="DS283" s="79">
        <v>5</v>
      </c>
      <c r="DT283" s="486" t="str">
        <f t="shared" si="95"/>
        <v>3915</v>
      </c>
      <c r="DU283" s="486"/>
      <c r="DV283" s="79">
        <v>3</v>
      </c>
      <c r="DW283" s="79">
        <f t="shared" si="96"/>
        <v>5</v>
      </c>
      <c r="DX283" s="486" t="str">
        <f t="shared" si="97"/>
        <v>3915</v>
      </c>
      <c r="DY283" s="486"/>
      <c r="DZ283" s="79">
        <f t="shared" si="98"/>
        <v>5</v>
      </c>
      <c r="EA283" s="80">
        <f t="shared" si="109"/>
        <v>1</v>
      </c>
      <c r="EB283" s="295"/>
      <c r="EC283" s="80">
        <f t="shared" si="99"/>
        <v>0</v>
      </c>
      <c r="ED283" s="486">
        <f t="shared" si="100"/>
        <v>0</v>
      </c>
      <c r="EE283" s="486"/>
      <c r="EF283" s="79">
        <f t="shared" si="101"/>
        <v>0</v>
      </c>
      <c r="EG283" s="486">
        <f t="shared" si="102"/>
        <v>0</v>
      </c>
      <c r="EH283" s="486"/>
      <c r="EI283" s="79">
        <f t="shared" si="103"/>
        <v>0</v>
      </c>
      <c r="EJ283" s="79">
        <f t="shared" si="104"/>
        <v>0</v>
      </c>
      <c r="EK283" s="486">
        <f t="shared" si="105"/>
        <v>0</v>
      </c>
      <c r="EL283" s="486"/>
      <c r="EM283" s="79">
        <f t="shared" si="106"/>
        <v>0</v>
      </c>
      <c r="EN283" s="486">
        <v>0</v>
      </c>
      <c r="EO283" s="486"/>
      <c r="EP283" s="486">
        <f t="shared" si="107"/>
        <v>0</v>
      </c>
      <c r="EQ283" s="486"/>
      <c r="ER283" s="385">
        <f t="shared" si="110"/>
        <v>0</v>
      </c>
      <c r="ES283" s="385"/>
      <c r="ET283" s="486">
        <f t="shared" si="108"/>
        <v>0</v>
      </c>
      <c r="EU283" s="486"/>
      <c r="EV283" s="82"/>
      <c r="EW283" s="82"/>
      <c r="EX283" s="82"/>
      <c r="EY283" s="82"/>
      <c r="EZ283" s="82"/>
      <c r="FA283" s="82"/>
      <c r="FB283" s="82"/>
      <c r="FC283" s="244"/>
      <c r="FD283" s="245"/>
      <c r="FF283" s="159"/>
      <c r="FG283" s="5"/>
      <c r="FH283" s="5"/>
      <c r="FI283" s="5"/>
      <c r="FJ283" s="5"/>
    </row>
    <row r="284" spans="1:166" ht="12" hidden="1">
      <c r="A284" s="156">
        <f t="shared" si="80"/>
        <v>1</v>
      </c>
      <c r="DD284" s="78" t="s">
        <v>246</v>
      </c>
      <c r="DE284" s="78"/>
      <c r="DF284" s="78"/>
      <c r="DG284" s="78"/>
      <c r="DH284" s="78"/>
      <c r="DI284" s="78"/>
      <c r="DJ284" s="78"/>
      <c r="DK284" s="78"/>
      <c r="DL284" s="78"/>
      <c r="DM284" s="78"/>
      <c r="DN284" s="78"/>
      <c r="DO284" s="78"/>
      <c r="DP284" s="78"/>
      <c r="DQ284" s="486" t="str">
        <f t="shared" si="94"/>
        <v>3916</v>
      </c>
      <c r="DR284" s="486"/>
      <c r="DS284" s="79">
        <v>5</v>
      </c>
      <c r="DT284" s="486" t="str">
        <f t="shared" si="95"/>
        <v>3916</v>
      </c>
      <c r="DU284" s="486"/>
      <c r="DV284" s="79">
        <v>3</v>
      </c>
      <c r="DW284" s="79">
        <f t="shared" si="96"/>
        <v>5</v>
      </c>
      <c r="DX284" s="486" t="str">
        <f t="shared" si="97"/>
        <v>3916</v>
      </c>
      <c r="DY284" s="486"/>
      <c r="DZ284" s="79">
        <f t="shared" si="98"/>
        <v>5</v>
      </c>
      <c r="EA284" s="80">
        <f t="shared" si="109"/>
        <v>1</v>
      </c>
      <c r="EB284" s="295"/>
      <c r="EC284" s="80">
        <f t="shared" si="99"/>
        <v>0</v>
      </c>
      <c r="ED284" s="486">
        <f t="shared" si="100"/>
        <v>0</v>
      </c>
      <c r="EE284" s="486"/>
      <c r="EF284" s="79">
        <f t="shared" si="101"/>
        <v>0</v>
      </c>
      <c r="EG284" s="486">
        <f t="shared" si="102"/>
        <v>0</v>
      </c>
      <c r="EH284" s="486"/>
      <c r="EI284" s="79">
        <f t="shared" si="103"/>
        <v>0</v>
      </c>
      <c r="EJ284" s="79">
        <f t="shared" si="104"/>
        <v>0</v>
      </c>
      <c r="EK284" s="486">
        <f t="shared" si="105"/>
        <v>0</v>
      </c>
      <c r="EL284" s="486"/>
      <c r="EM284" s="79">
        <f t="shared" si="106"/>
        <v>0</v>
      </c>
      <c r="EN284" s="486">
        <v>0</v>
      </c>
      <c r="EO284" s="486"/>
      <c r="EP284" s="486">
        <f t="shared" si="107"/>
        <v>0</v>
      </c>
      <c r="EQ284" s="486"/>
      <c r="ER284" s="385">
        <f t="shared" si="110"/>
        <v>0</v>
      </c>
      <c r="ES284" s="385"/>
      <c r="ET284" s="486">
        <f t="shared" si="108"/>
        <v>0</v>
      </c>
      <c r="EU284" s="486"/>
      <c r="EV284" s="82"/>
      <c r="EW284" s="82"/>
      <c r="EX284" s="82"/>
      <c r="EY284" s="82"/>
      <c r="EZ284" s="82"/>
      <c r="FA284" s="82"/>
      <c r="FB284" s="82"/>
      <c r="FC284" s="244"/>
      <c r="FD284" s="245"/>
      <c r="FI284" s="159"/>
      <c r="FJ284" s="5"/>
    </row>
    <row r="285" spans="1:166" ht="12" hidden="1">
      <c r="A285" s="156">
        <f t="shared" si="80"/>
        <v>1</v>
      </c>
      <c r="DD285" s="78" t="s">
        <v>247</v>
      </c>
      <c r="DE285" s="78"/>
      <c r="DF285" s="78"/>
      <c r="DG285" s="78"/>
      <c r="DH285" s="78"/>
      <c r="DI285" s="78"/>
      <c r="DJ285" s="78"/>
      <c r="DK285" s="78"/>
      <c r="DL285" s="78"/>
      <c r="DM285" s="78"/>
      <c r="DN285" s="78"/>
      <c r="DO285" s="78"/>
      <c r="DP285" s="78"/>
      <c r="DQ285" s="486" t="str">
        <f t="shared" si="94"/>
        <v>3917</v>
      </c>
      <c r="DR285" s="486"/>
      <c r="DS285" s="79">
        <v>5</v>
      </c>
      <c r="DT285" s="486" t="str">
        <f t="shared" si="95"/>
        <v>3917</v>
      </c>
      <c r="DU285" s="486"/>
      <c r="DV285" s="79">
        <v>3</v>
      </c>
      <c r="DW285" s="79">
        <f t="shared" si="96"/>
        <v>5</v>
      </c>
      <c r="DX285" s="486" t="str">
        <f t="shared" si="97"/>
        <v>3917</v>
      </c>
      <c r="DY285" s="486"/>
      <c r="DZ285" s="79">
        <f t="shared" si="98"/>
        <v>5</v>
      </c>
      <c r="EA285" s="80">
        <f t="shared" si="109"/>
        <v>1</v>
      </c>
      <c r="EB285" s="295"/>
      <c r="EC285" s="80">
        <f t="shared" si="99"/>
        <v>0</v>
      </c>
      <c r="ED285" s="486">
        <f t="shared" si="100"/>
        <v>0</v>
      </c>
      <c r="EE285" s="486"/>
      <c r="EF285" s="79">
        <f t="shared" si="101"/>
        <v>0</v>
      </c>
      <c r="EG285" s="486">
        <f t="shared" si="102"/>
        <v>0</v>
      </c>
      <c r="EH285" s="486"/>
      <c r="EI285" s="79">
        <f t="shared" si="103"/>
        <v>0</v>
      </c>
      <c r="EJ285" s="79">
        <f t="shared" si="104"/>
        <v>0</v>
      </c>
      <c r="EK285" s="486">
        <f t="shared" si="105"/>
        <v>0</v>
      </c>
      <c r="EL285" s="486"/>
      <c r="EM285" s="79">
        <f t="shared" si="106"/>
        <v>0</v>
      </c>
      <c r="EN285" s="486">
        <v>0</v>
      </c>
      <c r="EO285" s="486"/>
      <c r="EP285" s="486">
        <f t="shared" si="107"/>
        <v>0</v>
      </c>
      <c r="EQ285" s="486"/>
      <c r="ER285" s="385">
        <f t="shared" si="110"/>
        <v>0</v>
      </c>
      <c r="ES285" s="385"/>
      <c r="ET285" s="486">
        <f t="shared" si="108"/>
        <v>0</v>
      </c>
      <c r="EU285" s="486"/>
      <c r="EV285" s="82"/>
      <c r="EW285" s="82"/>
      <c r="EX285" s="82"/>
      <c r="EY285" s="82"/>
      <c r="EZ285" s="82"/>
      <c r="FA285" s="82"/>
      <c r="FB285" s="82"/>
      <c r="FC285" s="244"/>
      <c r="FD285" s="245"/>
      <c r="FI285" s="159"/>
      <c r="FJ285" s="5"/>
    </row>
    <row r="286" spans="1:160" ht="12" hidden="1">
      <c r="A286" s="156">
        <f t="shared" si="80"/>
        <v>1</v>
      </c>
      <c r="DD286" s="78" t="s">
        <v>248</v>
      </c>
      <c r="DE286" s="78"/>
      <c r="DF286" s="78"/>
      <c r="DG286" s="78"/>
      <c r="DH286" s="78"/>
      <c r="DI286" s="78"/>
      <c r="DJ286" s="78"/>
      <c r="DK286" s="78"/>
      <c r="DL286" s="78"/>
      <c r="DM286" s="78"/>
      <c r="DN286" s="78"/>
      <c r="DO286" s="78"/>
      <c r="DP286" s="78"/>
      <c r="DQ286" s="486" t="str">
        <f t="shared" si="94"/>
        <v>3918</v>
      </c>
      <c r="DR286" s="486"/>
      <c r="DS286" s="79">
        <v>5</v>
      </c>
      <c r="DT286" s="486" t="str">
        <f t="shared" si="95"/>
        <v>3918</v>
      </c>
      <c r="DU286" s="486"/>
      <c r="DV286" s="79">
        <v>3</v>
      </c>
      <c r="DW286" s="79">
        <f t="shared" si="96"/>
        <v>5</v>
      </c>
      <c r="DX286" s="486" t="str">
        <f t="shared" si="97"/>
        <v>3918</v>
      </c>
      <c r="DY286" s="486"/>
      <c r="DZ286" s="79">
        <f t="shared" si="98"/>
        <v>5</v>
      </c>
      <c r="EA286" s="80">
        <f t="shared" si="109"/>
        <v>1</v>
      </c>
      <c r="EB286" s="295"/>
      <c r="EC286" s="80">
        <f t="shared" si="99"/>
        <v>0</v>
      </c>
      <c r="ED286" s="486">
        <f t="shared" si="100"/>
        <v>0</v>
      </c>
      <c r="EE286" s="486"/>
      <c r="EF286" s="79">
        <f t="shared" si="101"/>
        <v>0</v>
      </c>
      <c r="EG286" s="486">
        <f t="shared" si="102"/>
        <v>0</v>
      </c>
      <c r="EH286" s="486"/>
      <c r="EI286" s="79">
        <f t="shared" si="103"/>
        <v>0</v>
      </c>
      <c r="EJ286" s="79">
        <f t="shared" si="104"/>
        <v>0</v>
      </c>
      <c r="EK286" s="486">
        <f t="shared" si="105"/>
        <v>0</v>
      </c>
      <c r="EL286" s="486"/>
      <c r="EM286" s="79">
        <f t="shared" si="106"/>
        <v>0</v>
      </c>
      <c r="EN286" s="486">
        <v>0</v>
      </c>
      <c r="EO286" s="486"/>
      <c r="EP286" s="486">
        <f t="shared" si="107"/>
        <v>0</v>
      </c>
      <c r="EQ286" s="486"/>
      <c r="ER286" s="385">
        <f t="shared" si="110"/>
        <v>0</v>
      </c>
      <c r="ES286" s="385"/>
      <c r="ET286" s="486">
        <f t="shared" si="108"/>
        <v>0</v>
      </c>
      <c r="EU286" s="486"/>
      <c r="EV286" s="82"/>
      <c r="EW286" s="82"/>
      <c r="EX286" s="82"/>
      <c r="EY286" s="82"/>
      <c r="EZ286" s="82"/>
      <c r="FA286" s="82"/>
      <c r="FB286" s="82"/>
      <c r="FC286" s="244"/>
      <c r="FD286" s="245"/>
    </row>
    <row r="287" spans="1:160" ht="12" hidden="1">
      <c r="A287" s="156">
        <f t="shared" si="80"/>
        <v>1</v>
      </c>
      <c r="DD287" s="78" t="s">
        <v>249</v>
      </c>
      <c r="DE287" s="78"/>
      <c r="DF287" s="78"/>
      <c r="DG287" s="78"/>
      <c r="DH287" s="78"/>
      <c r="DI287" s="78"/>
      <c r="DJ287" s="78"/>
      <c r="DK287" s="78"/>
      <c r="DL287" s="78"/>
      <c r="DM287" s="78"/>
      <c r="DN287" s="78"/>
      <c r="DO287" s="78"/>
      <c r="DP287" s="78"/>
      <c r="DQ287" s="486" t="str">
        <f t="shared" si="94"/>
        <v>3919</v>
      </c>
      <c r="DR287" s="486"/>
      <c r="DS287" s="79">
        <v>5</v>
      </c>
      <c r="DT287" s="486" t="str">
        <f t="shared" si="95"/>
        <v>3919</v>
      </c>
      <c r="DU287" s="486"/>
      <c r="DV287" s="79">
        <v>3</v>
      </c>
      <c r="DW287" s="79">
        <f t="shared" si="96"/>
        <v>5</v>
      </c>
      <c r="DX287" s="486" t="str">
        <f t="shared" si="97"/>
        <v>3919</v>
      </c>
      <c r="DY287" s="486"/>
      <c r="DZ287" s="79">
        <f t="shared" si="98"/>
        <v>5</v>
      </c>
      <c r="EA287" s="80">
        <f t="shared" si="109"/>
        <v>1</v>
      </c>
      <c r="EB287" s="295"/>
      <c r="EC287" s="80">
        <f t="shared" si="99"/>
        <v>0</v>
      </c>
      <c r="ED287" s="486">
        <f t="shared" si="100"/>
        <v>0</v>
      </c>
      <c r="EE287" s="486"/>
      <c r="EF287" s="79">
        <f t="shared" si="101"/>
        <v>0</v>
      </c>
      <c r="EG287" s="486">
        <f t="shared" si="102"/>
        <v>0</v>
      </c>
      <c r="EH287" s="486"/>
      <c r="EI287" s="79">
        <f t="shared" si="103"/>
        <v>0</v>
      </c>
      <c r="EJ287" s="79">
        <f t="shared" si="104"/>
        <v>0</v>
      </c>
      <c r="EK287" s="486">
        <f t="shared" si="105"/>
        <v>0</v>
      </c>
      <c r="EL287" s="486"/>
      <c r="EM287" s="79">
        <f t="shared" si="106"/>
        <v>0</v>
      </c>
      <c r="EN287" s="486">
        <v>0</v>
      </c>
      <c r="EO287" s="486"/>
      <c r="EP287" s="486">
        <f t="shared" si="107"/>
        <v>0</v>
      </c>
      <c r="EQ287" s="486"/>
      <c r="ER287" s="385">
        <f t="shared" si="110"/>
        <v>0</v>
      </c>
      <c r="ES287" s="385"/>
      <c r="ET287" s="486">
        <f t="shared" si="108"/>
        <v>0</v>
      </c>
      <c r="EU287" s="486"/>
      <c r="EV287" s="82"/>
      <c r="EW287" s="82"/>
      <c r="EX287" s="82"/>
      <c r="EY287" s="82"/>
      <c r="EZ287" s="82"/>
      <c r="FA287" s="82"/>
      <c r="FB287" s="82"/>
      <c r="FC287" s="244"/>
      <c r="FD287" s="245"/>
    </row>
    <row r="288" spans="1:160" ht="12" hidden="1">
      <c r="A288" s="156">
        <f t="shared" si="80"/>
        <v>1</v>
      </c>
      <c r="DD288" s="85" t="s">
        <v>250</v>
      </c>
      <c r="DE288" s="85"/>
      <c r="DF288" s="85"/>
      <c r="DG288" s="85"/>
      <c r="DH288" s="85"/>
      <c r="DI288" s="85"/>
      <c r="DJ288" s="85"/>
      <c r="DK288" s="85"/>
      <c r="DL288" s="85"/>
      <c r="DM288" s="85"/>
      <c r="DN288" s="85"/>
      <c r="DO288" s="85"/>
      <c r="DP288" s="85"/>
      <c r="DQ288" s="486" t="str">
        <f t="shared" si="94"/>
        <v>3925</v>
      </c>
      <c r="DR288" s="486"/>
      <c r="DS288" s="79">
        <v>5</v>
      </c>
      <c r="DT288" s="486" t="str">
        <f t="shared" si="95"/>
        <v>3925</v>
      </c>
      <c r="DU288" s="486"/>
      <c r="DV288" s="79">
        <v>3</v>
      </c>
      <c r="DW288" s="79">
        <f t="shared" si="96"/>
        <v>5</v>
      </c>
      <c r="DX288" s="486" t="str">
        <f t="shared" si="97"/>
        <v>3925</v>
      </c>
      <c r="DY288" s="486"/>
      <c r="DZ288" s="79">
        <f t="shared" si="98"/>
        <v>5</v>
      </c>
      <c r="EA288" s="80">
        <f t="shared" si="109"/>
        <v>1</v>
      </c>
      <c r="EB288" s="296"/>
      <c r="EC288" s="80">
        <f t="shared" si="99"/>
        <v>0</v>
      </c>
      <c r="ED288" s="486">
        <f t="shared" si="100"/>
        <v>0</v>
      </c>
      <c r="EE288" s="486"/>
      <c r="EF288" s="79">
        <f t="shared" si="101"/>
        <v>0</v>
      </c>
      <c r="EG288" s="486">
        <f t="shared" si="102"/>
        <v>0</v>
      </c>
      <c r="EH288" s="486"/>
      <c r="EI288" s="79">
        <f t="shared" si="103"/>
        <v>0</v>
      </c>
      <c r="EJ288" s="79">
        <f t="shared" si="104"/>
        <v>0</v>
      </c>
      <c r="EK288" s="486">
        <f t="shared" si="105"/>
        <v>0</v>
      </c>
      <c r="EL288" s="486"/>
      <c r="EM288" s="79">
        <f t="shared" si="106"/>
        <v>0</v>
      </c>
      <c r="EN288" s="486">
        <v>0</v>
      </c>
      <c r="EO288" s="486"/>
      <c r="EP288" s="486">
        <f t="shared" si="107"/>
        <v>0</v>
      </c>
      <c r="EQ288" s="486"/>
      <c r="ER288" s="385">
        <f t="shared" si="110"/>
        <v>0</v>
      </c>
      <c r="ES288" s="385"/>
      <c r="ET288" s="486">
        <f t="shared" si="108"/>
        <v>0</v>
      </c>
      <c r="EU288" s="486"/>
      <c r="EV288" s="82"/>
      <c r="EW288" s="82"/>
      <c r="EX288" s="82"/>
      <c r="EY288" s="82"/>
      <c r="EZ288" s="82"/>
      <c r="FA288" s="82"/>
      <c r="FB288" s="82"/>
      <c r="FC288" s="244"/>
      <c r="FD288" s="245"/>
    </row>
    <row r="289" spans="1:160" ht="12" hidden="1">
      <c r="A289" s="156">
        <f t="shared" si="80"/>
        <v>1</v>
      </c>
      <c r="DD289" s="85" t="s">
        <v>251</v>
      </c>
      <c r="DE289" s="85"/>
      <c r="DF289" s="85"/>
      <c r="DG289" s="85"/>
      <c r="DH289" s="85"/>
      <c r="DI289" s="85"/>
      <c r="DJ289" s="85"/>
      <c r="DK289" s="85"/>
      <c r="DL289" s="85"/>
      <c r="DM289" s="85"/>
      <c r="DN289" s="85"/>
      <c r="DO289" s="85"/>
      <c r="DP289" s="85"/>
      <c r="DQ289" s="486" t="str">
        <f t="shared" si="94"/>
        <v>3930</v>
      </c>
      <c r="DR289" s="486"/>
      <c r="DS289" s="79">
        <v>5</v>
      </c>
      <c r="DT289" s="486" t="str">
        <f t="shared" si="95"/>
        <v>3930</v>
      </c>
      <c r="DU289" s="486"/>
      <c r="DV289" s="79">
        <v>3</v>
      </c>
      <c r="DW289" s="79">
        <f t="shared" si="96"/>
        <v>5</v>
      </c>
      <c r="DX289" s="486" t="str">
        <f t="shared" si="97"/>
        <v>3930</v>
      </c>
      <c r="DY289" s="486"/>
      <c r="DZ289" s="79">
        <f t="shared" si="98"/>
        <v>5</v>
      </c>
      <c r="EA289" s="80">
        <f t="shared" si="109"/>
        <v>1</v>
      </c>
      <c r="EB289" s="296"/>
      <c r="EC289" s="80">
        <f t="shared" si="99"/>
        <v>0</v>
      </c>
      <c r="ED289" s="486">
        <f t="shared" si="100"/>
        <v>0</v>
      </c>
      <c r="EE289" s="486"/>
      <c r="EF289" s="79">
        <f t="shared" si="101"/>
        <v>0</v>
      </c>
      <c r="EG289" s="486">
        <f t="shared" si="102"/>
        <v>0</v>
      </c>
      <c r="EH289" s="486"/>
      <c r="EI289" s="79">
        <f t="shared" si="103"/>
        <v>0</v>
      </c>
      <c r="EJ289" s="79">
        <f t="shared" si="104"/>
        <v>0</v>
      </c>
      <c r="EK289" s="486">
        <f t="shared" si="105"/>
        <v>0</v>
      </c>
      <c r="EL289" s="486"/>
      <c r="EM289" s="79">
        <f t="shared" si="106"/>
        <v>0</v>
      </c>
      <c r="EN289" s="486">
        <v>0</v>
      </c>
      <c r="EO289" s="486"/>
      <c r="EP289" s="486">
        <f t="shared" si="107"/>
        <v>0</v>
      </c>
      <c r="EQ289" s="486"/>
      <c r="ER289" s="385">
        <f t="shared" si="110"/>
        <v>0</v>
      </c>
      <c r="ES289" s="385"/>
      <c r="ET289" s="486">
        <f t="shared" si="108"/>
        <v>0</v>
      </c>
      <c r="EU289" s="486"/>
      <c r="EV289" s="82"/>
      <c r="EW289" s="82"/>
      <c r="EX289" s="82"/>
      <c r="EY289" s="82"/>
      <c r="EZ289" s="82"/>
      <c r="FA289" s="82"/>
      <c r="FB289" s="82"/>
      <c r="FC289" s="244"/>
      <c r="FD289" s="245"/>
    </row>
    <row r="290" spans="1:160" ht="12" hidden="1">
      <c r="A290" s="156">
        <f t="shared" si="80"/>
        <v>1</v>
      </c>
      <c r="DD290" s="85" t="s">
        <v>252</v>
      </c>
      <c r="DE290" s="85"/>
      <c r="DF290" s="85"/>
      <c r="DG290" s="85"/>
      <c r="DH290" s="85"/>
      <c r="DI290" s="85"/>
      <c r="DJ290" s="85"/>
      <c r="DK290" s="85"/>
      <c r="DL290" s="85"/>
      <c r="DM290" s="85"/>
      <c r="DN290" s="85"/>
      <c r="DO290" s="85"/>
      <c r="DP290" s="85"/>
      <c r="DQ290" s="486" t="str">
        <f t="shared" si="94"/>
        <v>3944</v>
      </c>
      <c r="DR290" s="486"/>
      <c r="DS290" s="96">
        <v>5</v>
      </c>
      <c r="DT290" s="486">
        <v>3944</v>
      </c>
      <c r="DU290" s="486"/>
      <c r="DV290" s="79">
        <v>3</v>
      </c>
      <c r="DW290" s="96">
        <f t="shared" si="96"/>
        <v>5</v>
      </c>
      <c r="DX290" s="486">
        <v>3944</v>
      </c>
      <c r="DY290" s="486"/>
      <c r="DZ290" s="96">
        <f t="shared" si="98"/>
        <v>5</v>
      </c>
      <c r="EA290" s="80">
        <f t="shared" si="109"/>
        <v>1</v>
      </c>
      <c r="EB290" s="296"/>
      <c r="EC290" s="80">
        <f t="shared" si="99"/>
        <v>0</v>
      </c>
      <c r="ED290" s="486">
        <f t="shared" si="100"/>
        <v>0</v>
      </c>
      <c r="EE290" s="486"/>
      <c r="EF290" s="79">
        <f t="shared" si="101"/>
        <v>0</v>
      </c>
      <c r="EG290" s="486">
        <f t="shared" si="102"/>
        <v>0</v>
      </c>
      <c r="EH290" s="486"/>
      <c r="EI290" s="79">
        <f t="shared" si="103"/>
        <v>0</v>
      </c>
      <c r="EJ290" s="79">
        <f t="shared" si="104"/>
        <v>0</v>
      </c>
      <c r="EK290" s="486">
        <f t="shared" si="105"/>
        <v>0</v>
      </c>
      <c r="EL290" s="486"/>
      <c r="EM290" s="79">
        <f t="shared" si="106"/>
        <v>0</v>
      </c>
      <c r="EN290" s="486">
        <f>EC290*9999</f>
        <v>0</v>
      </c>
      <c r="EO290" s="486"/>
      <c r="EP290" s="486">
        <f t="shared" si="107"/>
        <v>0</v>
      </c>
      <c r="EQ290" s="486"/>
      <c r="ER290" s="385">
        <f t="shared" si="110"/>
        <v>0</v>
      </c>
      <c r="ES290" s="385"/>
      <c r="ET290" s="486">
        <f t="shared" si="108"/>
        <v>0</v>
      </c>
      <c r="EU290" s="486"/>
      <c r="EV290" s="82"/>
      <c r="EW290" s="82"/>
      <c r="EX290" s="82"/>
      <c r="EY290" s="82"/>
      <c r="EZ290" s="82"/>
      <c r="FA290" s="82"/>
      <c r="FB290" s="82"/>
      <c r="FC290" s="244"/>
      <c r="FD290" s="245"/>
    </row>
    <row r="291" spans="1:160" ht="12" hidden="1">
      <c r="A291" s="156">
        <f t="shared" si="80"/>
        <v>1</v>
      </c>
      <c r="DD291" s="85" t="s">
        <v>253</v>
      </c>
      <c r="DE291" s="85"/>
      <c r="DF291" s="85"/>
      <c r="DG291" s="85"/>
      <c r="DH291" s="85"/>
      <c r="DI291" s="85"/>
      <c r="DJ291" s="85"/>
      <c r="DK291" s="85"/>
      <c r="DL291" s="85"/>
      <c r="DM291" s="85"/>
      <c r="DN291" s="85"/>
      <c r="DO291" s="85"/>
      <c r="DP291" s="85"/>
      <c r="DQ291" s="486" t="str">
        <f t="shared" si="94"/>
        <v>3950</v>
      </c>
      <c r="DR291" s="486"/>
      <c r="DS291" s="96">
        <v>5</v>
      </c>
      <c r="DT291" s="486">
        <v>3950</v>
      </c>
      <c r="DU291" s="486"/>
      <c r="DV291" s="79">
        <v>3</v>
      </c>
      <c r="DW291" s="96">
        <f t="shared" si="96"/>
        <v>5</v>
      </c>
      <c r="DX291" s="486">
        <v>3950</v>
      </c>
      <c r="DY291" s="486"/>
      <c r="DZ291" s="96">
        <f t="shared" si="98"/>
        <v>5</v>
      </c>
      <c r="EA291" s="80">
        <f t="shared" si="109"/>
        <v>1</v>
      </c>
      <c r="EB291" s="296"/>
      <c r="EC291" s="80">
        <f t="shared" si="99"/>
        <v>0</v>
      </c>
      <c r="ED291" s="486">
        <f t="shared" si="100"/>
        <v>0</v>
      </c>
      <c r="EE291" s="486"/>
      <c r="EF291" s="79">
        <f t="shared" si="101"/>
        <v>0</v>
      </c>
      <c r="EG291" s="486">
        <f t="shared" si="102"/>
        <v>0</v>
      </c>
      <c r="EH291" s="486"/>
      <c r="EI291" s="79">
        <f t="shared" si="103"/>
        <v>0</v>
      </c>
      <c r="EJ291" s="79">
        <f t="shared" si="104"/>
        <v>0</v>
      </c>
      <c r="EK291" s="486">
        <f t="shared" si="105"/>
        <v>0</v>
      </c>
      <c r="EL291" s="486"/>
      <c r="EM291" s="79">
        <f t="shared" si="106"/>
        <v>0</v>
      </c>
      <c r="EN291" s="486">
        <f>EC291*9999</f>
        <v>0</v>
      </c>
      <c r="EO291" s="486"/>
      <c r="EP291" s="486">
        <f t="shared" si="107"/>
        <v>0</v>
      </c>
      <c r="EQ291" s="486"/>
      <c r="ER291" s="385">
        <f t="shared" si="110"/>
        <v>0</v>
      </c>
      <c r="ES291" s="385"/>
      <c r="ET291" s="486">
        <f t="shared" si="108"/>
        <v>0</v>
      </c>
      <c r="EU291" s="486"/>
      <c r="EV291" s="82"/>
      <c r="EW291" s="82"/>
      <c r="EX291" s="82"/>
      <c r="EY291" s="82"/>
      <c r="EZ291" s="82"/>
      <c r="FA291" s="82"/>
      <c r="FB291" s="82"/>
      <c r="FC291" s="244"/>
      <c r="FD291" s="245"/>
    </row>
    <row r="292" spans="1:160" ht="12" hidden="1">
      <c r="A292" s="156">
        <f t="shared" si="80"/>
        <v>1</v>
      </c>
      <c r="DD292" s="85" t="s">
        <v>254</v>
      </c>
      <c r="DE292" s="85"/>
      <c r="DF292" s="85"/>
      <c r="DG292" s="85"/>
      <c r="DH292" s="85"/>
      <c r="DI292" s="85"/>
      <c r="DJ292" s="85"/>
      <c r="DK292" s="85"/>
      <c r="DL292" s="85"/>
      <c r="DM292" s="85"/>
      <c r="DN292" s="85"/>
      <c r="DO292" s="85"/>
      <c r="DP292" s="85"/>
      <c r="DQ292" s="486" t="str">
        <f t="shared" si="94"/>
        <v>3955</v>
      </c>
      <c r="DR292" s="486"/>
      <c r="DS292" s="96">
        <v>5</v>
      </c>
      <c r="DT292" s="486">
        <v>3955</v>
      </c>
      <c r="DU292" s="486"/>
      <c r="DV292" s="79">
        <v>3</v>
      </c>
      <c r="DW292" s="96">
        <f t="shared" si="96"/>
        <v>5</v>
      </c>
      <c r="DX292" s="486">
        <v>3955</v>
      </c>
      <c r="DY292" s="486"/>
      <c r="DZ292" s="96">
        <f t="shared" si="98"/>
        <v>5</v>
      </c>
      <c r="EA292" s="80">
        <f t="shared" si="109"/>
        <v>1</v>
      </c>
      <c r="EB292" s="296"/>
      <c r="EC292" s="80">
        <f t="shared" si="99"/>
        <v>0</v>
      </c>
      <c r="ED292" s="486">
        <f t="shared" si="100"/>
        <v>0</v>
      </c>
      <c r="EE292" s="486"/>
      <c r="EF292" s="79">
        <f t="shared" si="101"/>
        <v>0</v>
      </c>
      <c r="EG292" s="486">
        <f t="shared" si="102"/>
        <v>0</v>
      </c>
      <c r="EH292" s="486"/>
      <c r="EI292" s="79">
        <f t="shared" si="103"/>
        <v>0</v>
      </c>
      <c r="EJ292" s="79">
        <f t="shared" si="104"/>
        <v>0</v>
      </c>
      <c r="EK292" s="486">
        <f t="shared" si="105"/>
        <v>0</v>
      </c>
      <c r="EL292" s="486"/>
      <c r="EM292" s="79">
        <f t="shared" si="106"/>
        <v>0</v>
      </c>
      <c r="EN292" s="486">
        <f>EC292*9999</f>
        <v>0</v>
      </c>
      <c r="EO292" s="486"/>
      <c r="EP292" s="486">
        <f t="shared" si="107"/>
        <v>0</v>
      </c>
      <c r="EQ292" s="486"/>
      <c r="ER292" s="385">
        <f t="shared" si="110"/>
        <v>0</v>
      </c>
      <c r="ES292" s="385"/>
      <c r="ET292" s="486">
        <f t="shared" si="108"/>
        <v>0</v>
      </c>
      <c r="EU292" s="486"/>
      <c r="EV292" s="82"/>
      <c r="EW292" s="82"/>
      <c r="EX292" s="82"/>
      <c r="EY292" s="82"/>
      <c r="EZ292" s="82"/>
      <c r="FA292" s="82"/>
      <c r="FB292" s="82"/>
      <c r="FC292" s="244"/>
      <c r="FD292" s="245"/>
    </row>
    <row r="293" spans="1:160" ht="12" hidden="1">
      <c r="A293" s="156">
        <f t="shared" si="80"/>
        <v>1</v>
      </c>
      <c r="DD293" s="85" t="s">
        <v>255</v>
      </c>
      <c r="DE293" s="85"/>
      <c r="DF293" s="85"/>
      <c r="DG293" s="85"/>
      <c r="DH293" s="85"/>
      <c r="DI293" s="85"/>
      <c r="DJ293" s="85"/>
      <c r="DK293" s="85"/>
      <c r="DL293" s="85"/>
      <c r="DM293" s="85"/>
      <c r="DN293" s="85"/>
      <c r="DO293" s="85"/>
      <c r="DP293" s="85"/>
      <c r="DQ293" s="486" t="str">
        <f t="shared" si="94"/>
        <v>3958</v>
      </c>
      <c r="DR293" s="486"/>
      <c r="DS293" s="96">
        <v>5</v>
      </c>
      <c r="DT293" s="486" t="str">
        <f>DQ293</f>
        <v>3958</v>
      </c>
      <c r="DU293" s="486"/>
      <c r="DV293" s="79">
        <v>3</v>
      </c>
      <c r="DW293" s="79">
        <f t="shared" si="96"/>
        <v>5</v>
      </c>
      <c r="DX293" s="486" t="str">
        <f>DQ293</f>
        <v>3958</v>
      </c>
      <c r="DY293" s="486"/>
      <c r="DZ293" s="79">
        <f t="shared" si="98"/>
        <v>5</v>
      </c>
      <c r="EA293" s="80">
        <f t="shared" si="109"/>
        <v>1</v>
      </c>
      <c r="EB293" s="296"/>
      <c r="EC293" s="80">
        <f t="shared" si="99"/>
        <v>0</v>
      </c>
      <c r="ED293" s="486">
        <f t="shared" si="100"/>
        <v>0</v>
      </c>
      <c r="EE293" s="486"/>
      <c r="EF293" s="79">
        <f t="shared" si="101"/>
        <v>0</v>
      </c>
      <c r="EG293" s="486">
        <f t="shared" si="102"/>
        <v>0</v>
      </c>
      <c r="EH293" s="486"/>
      <c r="EI293" s="79">
        <f t="shared" si="103"/>
        <v>0</v>
      </c>
      <c r="EJ293" s="79">
        <f t="shared" si="104"/>
        <v>0</v>
      </c>
      <c r="EK293" s="486">
        <f t="shared" si="105"/>
        <v>0</v>
      </c>
      <c r="EL293" s="486"/>
      <c r="EM293" s="79">
        <f t="shared" si="106"/>
        <v>0</v>
      </c>
      <c r="EN293" s="486">
        <v>0</v>
      </c>
      <c r="EO293" s="486"/>
      <c r="EP293" s="486">
        <f t="shared" si="107"/>
        <v>0</v>
      </c>
      <c r="EQ293" s="486"/>
      <c r="ER293" s="385">
        <f t="shared" si="110"/>
        <v>0</v>
      </c>
      <c r="ES293" s="385"/>
      <c r="ET293" s="486">
        <f t="shared" si="108"/>
        <v>0</v>
      </c>
      <c r="EU293" s="486"/>
      <c r="EV293" s="82"/>
      <c r="EW293" s="82"/>
      <c r="EX293" s="82"/>
      <c r="EY293" s="82"/>
      <c r="EZ293" s="82"/>
      <c r="FA293" s="82"/>
      <c r="FB293" s="82"/>
      <c r="FC293" s="244"/>
      <c r="FD293" s="245"/>
    </row>
    <row r="294" spans="1:160" ht="12" hidden="1">
      <c r="A294" s="156">
        <f t="shared" si="80"/>
        <v>1</v>
      </c>
      <c r="DD294" s="85" t="s">
        <v>256</v>
      </c>
      <c r="DE294" s="85"/>
      <c r="DF294" s="85"/>
      <c r="DG294" s="85"/>
      <c r="DH294" s="85"/>
      <c r="DI294" s="85"/>
      <c r="DJ294" s="85"/>
      <c r="DK294" s="85"/>
      <c r="DL294" s="85"/>
      <c r="DM294" s="85"/>
      <c r="DN294" s="85"/>
      <c r="DO294" s="85"/>
      <c r="DP294" s="85"/>
      <c r="DQ294" s="486" t="str">
        <f t="shared" si="94"/>
        <v>3959</v>
      </c>
      <c r="DR294" s="486"/>
      <c r="DS294" s="96">
        <v>5</v>
      </c>
      <c r="DT294" s="486" t="str">
        <f>DQ294</f>
        <v>3959</v>
      </c>
      <c r="DU294" s="486"/>
      <c r="DV294" s="79">
        <v>3</v>
      </c>
      <c r="DW294" s="79">
        <f t="shared" si="96"/>
        <v>5</v>
      </c>
      <c r="DX294" s="486" t="str">
        <f>DQ294</f>
        <v>3959</v>
      </c>
      <c r="DY294" s="486"/>
      <c r="DZ294" s="79">
        <f t="shared" si="98"/>
        <v>5</v>
      </c>
      <c r="EA294" s="80">
        <f t="shared" si="109"/>
        <v>1</v>
      </c>
      <c r="EB294" s="296"/>
      <c r="EC294" s="80">
        <f t="shared" si="99"/>
        <v>0</v>
      </c>
      <c r="ED294" s="486">
        <f t="shared" si="100"/>
        <v>0</v>
      </c>
      <c r="EE294" s="486"/>
      <c r="EF294" s="79">
        <f t="shared" si="101"/>
        <v>0</v>
      </c>
      <c r="EG294" s="486">
        <f t="shared" si="102"/>
        <v>0</v>
      </c>
      <c r="EH294" s="486"/>
      <c r="EI294" s="79">
        <f t="shared" si="103"/>
        <v>0</v>
      </c>
      <c r="EJ294" s="79">
        <f t="shared" si="104"/>
        <v>0</v>
      </c>
      <c r="EK294" s="486">
        <f t="shared" si="105"/>
        <v>0</v>
      </c>
      <c r="EL294" s="486"/>
      <c r="EM294" s="79">
        <f t="shared" si="106"/>
        <v>0</v>
      </c>
      <c r="EN294" s="486">
        <v>0</v>
      </c>
      <c r="EO294" s="486"/>
      <c r="EP294" s="486">
        <f t="shared" si="107"/>
        <v>0</v>
      </c>
      <c r="EQ294" s="486"/>
      <c r="ER294" s="385">
        <f t="shared" si="110"/>
        <v>0</v>
      </c>
      <c r="ES294" s="385"/>
      <c r="ET294" s="486">
        <f t="shared" si="108"/>
        <v>0</v>
      </c>
      <c r="EU294" s="486"/>
      <c r="EV294" s="82"/>
      <c r="EW294" s="82"/>
      <c r="EX294" s="82"/>
      <c r="EY294" s="82"/>
      <c r="EZ294" s="82"/>
      <c r="FA294" s="82"/>
      <c r="FB294" s="82"/>
      <c r="FC294" s="244"/>
      <c r="FD294" s="245"/>
    </row>
    <row r="295" spans="1:160" ht="12" hidden="1">
      <c r="A295" s="156">
        <f t="shared" si="80"/>
        <v>1</v>
      </c>
      <c r="DD295" s="85" t="s">
        <v>257</v>
      </c>
      <c r="DE295" s="85"/>
      <c r="DF295" s="85"/>
      <c r="DG295" s="85"/>
      <c r="DH295" s="85"/>
      <c r="DI295" s="85"/>
      <c r="DJ295" s="85"/>
      <c r="DK295" s="85"/>
      <c r="DL295" s="85"/>
      <c r="DM295" s="85"/>
      <c r="DN295" s="85"/>
      <c r="DO295" s="85"/>
      <c r="DP295" s="85"/>
      <c r="DQ295" s="486" t="str">
        <f t="shared" si="94"/>
        <v>3960</v>
      </c>
      <c r="DR295" s="486"/>
      <c r="DS295" s="96">
        <v>5</v>
      </c>
      <c r="DT295" s="486" t="str">
        <f>DQ295</f>
        <v>3960</v>
      </c>
      <c r="DU295" s="486"/>
      <c r="DV295" s="79">
        <v>3</v>
      </c>
      <c r="DW295" s="79">
        <f t="shared" si="96"/>
        <v>5</v>
      </c>
      <c r="DX295" s="486" t="str">
        <f>DQ295</f>
        <v>3960</v>
      </c>
      <c r="DY295" s="486"/>
      <c r="DZ295" s="79">
        <f t="shared" si="98"/>
        <v>5</v>
      </c>
      <c r="EA295" s="80">
        <f t="shared" si="109"/>
        <v>1</v>
      </c>
      <c r="EB295" s="296"/>
      <c r="EC295" s="80">
        <f t="shared" si="99"/>
        <v>0</v>
      </c>
      <c r="ED295" s="486">
        <f t="shared" si="100"/>
        <v>0</v>
      </c>
      <c r="EE295" s="486"/>
      <c r="EF295" s="79">
        <f t="shared" si="101"/>
        <v>0</v>
      </c>
      <c r="EG295" s="486">
        <f t="shared" si="102"/>
        <v>0</v>
      </c>
      <c r="EH295" s="486"/>
      <c r="EI295" s="79">
        <f t="shared" si="103"/>
        <v>0</v>
      </c>
      <c r="EJ295" s="79">
        <f t="shared" si="104"/>
        <v>0</v>
      </c>
      <c r="EK295" s="486">
        <f t="shared" si="105"/>
        <v>0</v>
      </c>
      <c r="EL295" s="486"/>
      <c r="EM295" s="79">
        <f t="shared" si="106"/>
        <v>0</v>
      </c>
      <c r="EN295" s="486">
        <v>0</v>
      </c>
      <c r="EO295" s="486"/>
      <c r="EP295" s="486">
        <f t="shared" si="107"/>
        <v>0</v>
      </c>
      <c r="EQ295" s="486"/>
      <c r="ER295" s="385">
        <f t="shared" si="110"/>
        <v>0</v>
      </c>
      <c r="ES295" s="385"/>
      <c r="ET295" s="486">
        <f t="shared" si="108"/>
        <v>0</v>
      </c>
      <c r="EU295" s="486"/>
      <c r="EV295" s="82"/>
      <c r="EW295" s="82"/>
      <c r="EX295" s="82"/>
      <c r="EY295" s="82"/>
      <c r="EZ295" s="82"/>
      <c r="FA295" s="82"/>
      <c r="FB295" s="82"/>
      <c r="FC295" s="244"/>
      <c r="FD295" s="245"/>
    </row>
    <row r="296" spans="1:160" ht="12" hidden="1">
      <c r="A296" s="156">
        <f t="shared" si="80"/>
        <v>1</v>
      </c>
      <c r="DD296" s="85" t="s">
        <v>258</v>
      </c>
      <c r="DE296" s="85"/>
      <c r="DF296" s="85"/>
      <c r="DG296" s="85"/>
      <c r="DH296" s="85"/>
      <c r="DI296" s="85"/>
      <c r="DJ296" s="85"/>
      <c r="DK296" s="85"/>
      <c r="DL296" s="85"/>
      <c r="DM296" s="85"/>
      <c r="DN296" s="85"/>
      <c r="DO296" s="85"/>
      <c r="DP296" s="85"/>
      <c r="DQ296" s="486" t="str">
        <f t="shared" si="94"/>
        <v>3961</v>
      </c>
      <c r="DR296" s="486"/>
      <c r="DS296" s="96">
        <v>5</v>
      </c>
      <c r="DT296" s="486" t="str">
        <f>DQ296</f>
        <v>3961</v>
      </c>
      <c r="DU296" s="486"/>
      <c r="DV296" s="79">
        <v>3</v>
      </c>
      <c r="DW296" s="79">
        <f t="shared" si="96"/>
        <v>5</v>
      </c>
      <c r="DX296" s="486" t="str">
        <f>DQ296</f>
        <v>3961</v>
      </c>
      <c r="DY296" s="486"/>
      <c r="DZ296" s="79">
        <f t="shared" si="98"/>
        <v>5</v>
      </c>
      <c r="EA296" s="80">
        <f t="shared" si="109"/>
        <v>1</v>
      </c>
      <c r="EB296" s="296"/>
      <c r="EC296" s="80">
        <f t="shared" si="99"/>
        <v>0</v>
      </c>
      <c r="ED296" s="486">
        <f t="shared" si="100"/>
        <v>0</v>
      </c>
      <c r="EE296" s="486"/>
      <c r="EF296" s="79">
        <f t="shared" si="101"/>
        <v>0</v>
      </c>
      <c r="EG296" s="486">
        <f t="shared" si="102"/>
        <v>0</v>
      </c>
      <c r="EH296" s="486"/>
      <c r="EI296" s="79">
        <f t="shared" si="103"/>
        <v>0</v>
      </c>
      <c r="EJ296" s="79">
        <f t="shared" si="104"/>
        <v>0</v>
      </c>
      <c r="EK296" s="486">
        <f t="shared" si="105"/>
        <v>0</v>
      </c>
      <c r="EL296" s="486"/>
      <c r="EM296" s="79">
        <f t="shared" si="106"/>
        <v>0</v>
      </c>
      <c r="EN296" s="486">
        <v>0</v>
      </c>
      <c r="EO296" s="486"/>
      <c r="EP296" s="486">
        <f t="shared" si="107"/>
        <v>0</v>
      </c>
      <c r="EQ296" s="486"/>
      <c r="ER296" s="385">
        <f t="shared" si="110"/>
        <v>0</v>
      </c>
      <c r="ES296" s="385"/>
      <c r="ET296" s="486">
        <f t="shared" si="108"/>
        <v>0</v>
      </c>
      <c r="EU296" s="486"/>
      <c r="EV296" s="82"/>
      <c r="EW296" s="82"/>
      <c r="EX296" s="82"/>
      <c r="EY296" s="82"/>
      <c r="EZ296" s="82"/>
      <c r="FA296" s="82"/>
      <c r="FB296" s="82"/>
      <c r="FC296" s="244"/>
      <c r="FD296" s="245"/>
    </row>
    <row r="297" spans="1:160" ht="12" hidden="1">
      <c r="A297" s="156">
        <f t="shared" si="80"/>
        <v>1</v>
      </c>
      <c r="DD297" s="85" t="s">
        <v>14</v>
      </c>
      <c r="DE297" s="85"/>
      <c r="DF297" s="85"/>
      <c r="DG297" s="85"/>
      <c r="DH297" s="85"/>
      <c r="DI297" s="85"/>
      <c r="DJ297" s="85"/>
      <c r="DK297" s="85"/>
      <c r="DL297" s="85"/>
      <c r="DM297" s="85"/>
      <c r="DN297" s="85"/>
      <c r="DO297" s="85"/>
      <c r="DP297" s="85"/>
      <c r="DQ297" s="79"/>
      <c r="DR297" s="79"/>
      <c r="DS297" s="96"/>
      <c r="DT297" s="79"/>
      <c r="DU297" s="79"/>
      <c r="DV297" s="79"/>
      <c r="DW297" s="79"/>
      <c r="DX297" s="79"/>
      <c r="DY297" s="79"/>
      <c r="DZ297" s="79"/>
      <c r="EA297" s="79"/>
      <c r="EB297" s="296"/>
      <c r="EC297" s="80"/>
      <c r="ED297" s="79"/>
      <c r="EE297" s="79"/>
      <c r="EF297" s="79"/>
      <c r="EG297" s="79"/>
      <c r="EH297" s="79"/>
      <c r="EI297" s="79"/>
      <c r="EJ297" s="79"/>
      <c r="EK297" s="79"/>
      <c r="EL297" s="79"/>
      <c r="EM297" s="79"/>
      <c r="EN297" s="79"/>
      <c r="EO297" s="79"/>
      <c r="EP297" s="79"/>
      <c r="EQ297" s="79"/>
      <c r="ER297" s="385"/>
      <c r="ES297" s="385"/>
      <c r="ET297" s="79"/>
      <c r="EU297" s="79"/>
      <c r="EV297" s="82"/>
      <c r="EW297" s="82"/>
      <c r="EX297" s="82"/>
      <c r="EY297" s="82"/>
      <c r="EZ297" s="82"/>
      <c r="FA297" s="82"/>
      <c r="FB297" s="82"/>
      <c r="FC297" s="244"/>
      <c r="FD297" s="245"/>
    </row>
    <row r="298" spans="1:160" ht="12" hidden="1">
      <c r="A298" s="156">
        <f aca="true" t="shared" si="111" ref="A298:A361">A297</f>
        <v>1</v>
      </c>
      <c r="DD298" s="85" t="s">
        <v>14</v>
      </c>
      <c r="DE298" s="85"/>
      <c r="DF298" s="85"/>
      <c r="DG298" s="85"/>
      <c r="DH298" s="85"/>
      <c r="DI298" s="85"/>
      <c r="DJ298" s="85"/>
      <c r="DK298" s="85"/>
      <c r="DL298" s="85"/>
      <c r="DM298" s="85"/>
      <c r="DN298" s="85"/>
      <c r="DO298" s="85"/>
      <c r="DP298" s="85"/>
      <c r="DQ298" s="79"/>
      <c r="DR298" s="79"/>
      <c r="DS298" s="96"/>
      <c r="DT298" s="79"/>
      <c r="DU298" s="79"/>
      <c r="DV298" s="79"/>
      <c r="DW298" s="79"/>
      <c r="DX298" s="79"/>
      <c r="DY298" s="79"/>
      <c r="DZ298" s="79"/>
      <c r="EA298" s="79"/>
      <c r="EB298" s="296"/>
      <c r="EC298" s="80"/>
      <c r="ED298" s="79"/>
      <c r="EE298" s="79"/>
      <c r="EF298" s="79"/>
      <c r="EG298" s="79"/>
      <c r="EH298" s="79"/>
      <c r="EI298" s="79"/>
      <c r="EJ298" s="79"/>
      <c r="EK298" s="79"/>
      <c r="EL298" s="79"/>
      <c r="EM298" s="79"/>
      <c r="EN298" s="79"/>
      <c r="EO298" s="79"/>
      <c r="EP298" s="79"/>
      <c r="EQ298" s="79"/>
      <c r="ER298" s="385"/>
      <c r="ES298" s="385"/>
      <c r="ET298" s="79"/>
      <c r="EU298" s="79"/>
      <c r="EV298" s="82"/>
      <c r="EW298" s="82"/>
      <c r="EX298" s="82"/>
      <c r="EY298" s="82"/>
      <c r="EZ298" s="82"/>
      <c r="FA298" s="82"/>
      <c r="FB298" s="82"/>
      <c r="FC298" s="244"/>
      <c r="FD298" s="245"/>
    </row>
    <row r="299" spans="1:160" ht="12" hidden="1">
      <c r="A299" s="156">
        <f t="shared" si="111"/>
        <v>1</v>
      </c>
      <c r="DD299" s="85" t="s">
        <v>14</v>
      </c>
      <c r="DE299" s="85"/>
      <c r="DF299" s="85"/>
      <c r="DG299" s="85"/>
      <c r="DH299" s="85"/>
      <c r="DI299" s="85"/>
      <c r="DJ299" s="85"/>
      <c r="DK299" s="85"/>
      <c r="DL299" s="85"/>
      <c r="DM299" s="85"/>
      <c r="DN299" s="85"/>
      <c r="DO299" s="85"/>
      <c r="DP299" s="85"/>
      <c r="DQ299" s="79"/>
      <c r="DR299" s="79"/>
      <c r="DS299" s="96"/>
      <c r="DT299" s="79"/>
      <c r="DU299" s="79"/>
      <c r="DV299" s="79"/>
      <c r="DW299" s="79"/>
      <c r="DX299" s="79"/>
      <c r="DY299" s="79"/>
      <c r="DZ299" s="79"/>
      <c r="EA299" s="79"/>
      <c r="EB299" s="296"/>
      <c r="EC299" s="80"/>
      <c r="ED299" s="79"/>
      <c r="EE299" s="79"/>
      <c r="EF299" s="79"/>
      <c r="EG299" s="79"/>
      <c r="EH299" s="79"/>
      <c r="EI299" s="79"/>
      <c r="EJ299" s="79"/>
      <c r="EK299" s="79"/>
      <c r="EL299" s="79"/>
      <c r="EM299" s="79"/>
      <c r="EN299" s="79"/>
      <c r="EO299" s="79"/>
      <c r="EP299" s="79"/>
      <c r="EQ299" s="79"/>
      <c r="ER299" s="385"/>
      <c r="ES299" s="385"/>
      <c r="ET299" s="79"/>
      <c r="EU299" s="79"/>
      <c r="EV299" s="82"/>
      <c r="EW299" s="82"/>
      <c r="EX299" s="82"/>
      <c r="EY299" s="82"/>
      <c r="EZ299" s="82"/>
      <c r="FA299" s="82"/>
      <c r="FB299" s="82"/>
      <c r="FC299" s="244"/>
      <c r="FD299" s="245"/>
    </row>
    <row r="300" spans="1:160" ht="12" hidden="1">
      <c r="A300" s="156">
        <f t="shared" si="111"/>
        <v>1</v>
      </c>
      <c r="DD300" s="85" t="s">
        <v>14</v>
      </c>
      <c r="DE300" s="85"/>
      <c r="DF300" s="85"/>
      <c r="DG300" s="85"/>
      <c r="DH300" s="85"/>
      <c r="DI300" s="85"/>
      <c r="DJ300" s="85"/>
      <c r="DK300" s="85"/>
      <c r="DL300" s="85"/>
      <c r="DM300" s="85"/>
      <c r="DN300" s="85"/>
      <c r="DO300" s="85"/>
      <c r="DP300" s="85"/>
      <c r="DQ300" s="79"/>
      <c r="DR300" s="79"/>
      <c r="DS300" s="96"/>
      <c r="DT300" s="79"/>
      <c r="DU300" s="79"/>
      <c r="DV300" s="79"/>
      <c r="DW300" s="79"/>
      <c r="DX300" s="79"/>
      <c r="DY300" s="79"/>
      <c r="DZ300" s="79"/>
      <c r="EA300" s="79"/>
      <c r="EB300" s="296"/>
      <c r="EC300" s="80"/>
      <c r="ED300" s="79"/>
      <c r="EE300" s="79"/>
      <c r="EF300" s="79"/>
      <c r="EG300" s="79"/>
      <c r="EH300" s="79"/>
      <c r="EI300" s="79"/>
      <c r="EJ300" s="79"/>
      <c r="EK300" s="79"/>
      <c r="EL300" s="79"/>
      <c r="EM300" s="79"/>
      <c r="EN300" s="79"/>
      <c r="EO300" s="79"/>
      <c r="EP300" s="79"/>
      <c r="EQ300" s="79"/>
      <c r="ER300" s="385"/>
      <c r="ES300" s="385"/>
      <c r="ET300" s="79"/>
      <c r="EU300" s="79"/>
      <c r="EV300" s="82"/>
      <c r="EW300" s="82"/>
      <c r="EX300" s="82"/>
      <c r="EY300" s="82"/>
      <c r="EZ300" s="82"/>
      <c r="FA300" s="82"/>
      <c r="FB300" s="82"/>
      <c r="FC300" s="244"/>
      <c r="FD300" s="245"/>
    </row>
    <row r="301" spans="1:160" ht="12" hidden="1">
      <c r="A301" s="156">
        <f t="shared" si="111"/>
        <v>1</v>
      </c>
      <c r="DD301" s="85" t="s">
        <v>14</v>
      </c>
      <c r="DE301" s="85"/>
      <c r="DF301" s="85"/>
      <c r="DG301" s="85"/>
      <c r="DH301" s="85"/>
      <c r="DI301" s="85"/>
      <c r="DJ301" s="85"/>
      <c r="DK301" s="85"/>
      <c r="DL301" s="85"/>
      <c r="DM301" s="85"/>
      <c r="DN301" s="85"/>
      <c r="DO301" s="85"/>
      <c r="DP301" s="85"/>
      <c r="DQ301" s="79"/>
      <c r="DR301" s="79"/>
      <c r="DS301" s="96"/>
      <c r="DT301" s="79"/>
      <c r="DU301" s="79"/>
      <c r="DV301" s="79"/>
      <c r="DW301" s="79"/>
      <c r="DX301" s="79"/>
      <c r="DY301" s="79"/>
      <c r="DZ301" s="79"/>
      <c r="EA301" s="79"/>
      <c r="EB301" s="296"/>
      <c r="EC301" s="80"/>
      <c r="ED301" s="79"/>
      <c r="EE301" s="79"/>
      <c r="EF301" s="79"/>
      <c r="EG301" s="79"/>
      <c r="EH301" s="79"/>
      <c r="EI301" s="79"/>
      <c r="EJ301" s="79"/>
      <c r="EK301" s="79"/>
      <c r="EL301" s="79"/>
      <c r="EM301" s="79"/>
      <c r="EN301" s="79"/>
      <c r="EO301" s="79"/>
      <c r="EP301" s="79"/>
      <c r="EQ301" s="79"/>
      <c r="ER301" s="385"/>
      <c r="ES301" s="385"/>
      <c r="ET301" s="79"/>
      <c r="EU301" s="79"/>
      <c r="EV301" s="82"/>
      <c r="EW301" s="82"/>
      <c r="EX301" s="82"/>
      <c r="EY301" s="82"/>
      <c r="EZ301" s="82"/>
      <c r="FA301" s="82"/>
      <c r="FB301" s="82"/>
      <c r="FC301" s="244"/>
      <c r="FD301" s="245"/>
    </row>
    <row r="302" spans="1:160" ht="12" hidden="1">
      <c r="A302" s="156">
        <f t="shared" si="111"/>
        <v>1</v>
      </c>
      <c r="DD302" s="85" t="s">
        <v>14</v>
      </c>
      <c r="DE302" s="85"/>
      <c r="DF302" s="85"/>
      <c r="DG302" s="85"/>
      <c r="DH302" s="85"/>
      <c r="DI302" s="85"/>
      <c r="DJ302" s="85"/>
      <c r="DK302" s="85"/>
      <c r="DL302" s="85"/>
      <c r="DM302" s="85"/>
      <c r="DN302" s="85"/>
      <c r="DO302" s="85"/>
      <c r="DP302" s="85"/>
      <c r="DQ302" s="79"/>
      <c r="DR302" s="79"/>
      <c r="DS302" s="96"/>
      <c r="DT302" s="79"/>
      <c r="DU302" s="79"/>
      <c r="DV302" s="79"/>
      <c r="DW302" s="79"/>
      <c r="DX302" s="79"/>
      <c r="DY302" s="79"/>
      <c r="DZ302" s="79"/>
      <c r="EA302" s="79"/>
      <c r="EB302" s="296"/>
      <c r="EC302" s="80"/>
      <c r="ED302" s="79"/>
      <c r="EE302" s="79"/>
      <c r="EF302" s="79"/>
      <c r="EG302" s="79"/>
      <c r="EH302" s="79"/>
      <c r="EI302" s="79"/>
      <c r="EJ302" s="79"/>
      <c r="EK302" s="79"/>
      <c r="EL302" s="79"/>
      <c r="EM302" s="79"/>
      <c r="EN302" s="79"/>
      <c r="EO302" s="79"/>
      <c r="EP302" s="79"/>
      <c r="EQ302" s="79"/>
      <c r="ER302" s="385"/>
      <c r="ES302" s="385"/>
      <c r="ET302" s="79"/>
      <c r="EU302" s="79"/>
      <c r="EV302" s="82"/>
      <c r="EW302" s="82"/>
      <c r="EX302" s="82"/>
      <c r="EY302" s="82"/>
      <c r="EZ302" s="82"/>
      <c r="FA302" s="82"/>
      <c r="FB302" s="82"/>
      <c r="FC302" s="244"/>
      <c r="FD302" s="245"/>
    </row>
    <row r="303" spans="1:160" ht="12" hidden="1">
      <c r="A303" s="156">
        <f t="shared" si="111"/>
        <v>1</v>
      </c>
      <c r="DD303" s="85" t="s">
        <v>14</v>
      </c>
      <c r="DE303" s="85"/>
      <c r="DF303" s="85"/>
      <c r="DG303" s="85"/>
      <c r="DH303" s="85"/>
      <c r="DI303" s="85"/>
      <c r="DJ303" s="85"/>
      <c r="DK303" s="85"/>
      <c r="DL303" s="85"/>
      <c r="DM303" s="85"/>
      <c r="DN303" s="85"/>
      <c r="DO303" s="85"/>
      <c r="DP303" s="85"/>
      <c r="DQ303" s="79"/>
      <c r="DR303" s="79"/>
      <c r="DS303" s="96"/>
      <c r="DT303" s="79"/>
      <c r="DU303" s="79"/>
      <c r="DV303" s="79"/>
      <c r="DW303" s="79"/>
      <c r="DX303" s="79"/>
      <c r="DY303" s="79"/>
      <c r="DZ303" s="79"/>
      <c r="EA303" s="79"/>
      <c r="EB303" s="296"/>
      <c r="EC303" s="80"/>
      <c r="ED303" s="79"/>
      <c r="EE303" s="79"/>
      <c r="EF303" s="79"/>
      <c r="EG303" s="79"/>
      <c r="EH303" s="79"/>
      <c r="EI303" s="79"/>
      <c r="EJ303" s="79"/>
      <c r="EK303" s="79"/>
      <c r="EL303" s="79"/>
      <c r="EM303" s="79"/>
      <c r="EN303" s="79"/>
      <c r="EO303" s="79"/>
      <c r="EP303" s="79"/>
      <c r="EQ303" s="79"/>
      <c r="ER303" s="385"/>
      <c r="ES303" s="385"/>
      <c r="ET303" s="79"/>
      <c r="EU303" s="79"/>
      <c r="EV303" s="82"/>
      <c r="EW303" s="82"/>
      <c r="EX303" s="82"/>
      <c r="EY303" s="82"/>
      <c r="EZ303" s="82"/>
      <c r="FA303" s="82"/>
      <c r="FB303" s="82"/>
      <c r="FC303" s="244"/>
      <c r="FD303" s="245"/>
    </row>
    <row r="304" spans="1:160" ht="12" hidden="1">
      <c r="A304" s="156">
        <f t="shared" si="111"/>
        <v>1</v>
      </c>
      <c r="DD304" s="85" t="s">
        <v>14</v>
      </c>
      <c r="DE304" s="85"/>
      <c r="DF304" s="85"/>
      <c r="DG304" s="85"/>
      <c r="DH304" s="85"/>
      <c r="DI304" s="85"/>
      <c r="DJ304" s="85"/>
      <c r="DK304" s="85"/>
      <c r="DL304" s="85"/>
      <c r="DM304" s="85"/>
      <c r="DN304" s="85"/>
      <c r="DO304" s="85"/>
      <c r="DP304" s="85"/>
      <c r="DQ304" s="79"/>
      <c r="DR304" s="79"/>
      <c r="DS304" s="96"/>
      <c r="DT304" s="79"/>
      <c r="DU304" s="79"/>
      <c r="DV304" s="79"/>
      <c r="DW304" s="79"/>
      <c r="DX304" s="79"/>
      <c r="DY304" s="79"/>
      <c r="DZ304" s="79"/>
      <c r="EA304" s="79"/>
      <c r="EB304" s="296"/>
      <c r="EC304" s="80"/>
      <c r="ED304" s="79"/>
      <c r="EE304" s="79"/>
      <c r="EF304" s="79"/>
      <c r="EG304" s="79"/>
      <c r="EH304" s="79"/>
      <c r="EI304" s="79"/>
      <c r="EJ304" s="79"/>
      <c r="EK304" s="79"/>
      <c r="EL304" s="79"/>
      <c r="EM304" s="79"/>
      <c r="EN304" s="79"/>
      <c r="EO304" s="79"/>
      <c r="EP304" s="79"/>
      <c r="EQ304" s="79"/>
      <c r="ER304" s="385"/>
      <c r="ES304" s="385"/>
      <c r="ET304" s="79"/>
      <c r="EU304" s="79"/>
      <c r="EV304" s="82"/>
      <c r="EW304" s="82"/>
      <c r="EX304" s="82"/>
      <c r="EY304" s="82"/>
      <c r="EZ304" s="82"/>
      <c r="FA304" s="82"/>
      <c r="FB304" s="82"/>
      <c r="FC304" s="244"/>
      <c r="FD304" s="245"/>
    </row>
    <row r="305" spans="1:160" ht="12" hidden="1">
      <c r="A305" s="156">
        <f t="shared" si="111"/>
        <v>1</v>
      </c>
      <c r="DD305" s="85" t="s">
        <v>14</v>
      </c>
      <c r="DE305" s="85"/>
      <c r="DF305" s="85"/>
      <c r="DG305" s="85"/>
      <c r="DH305" s="85"/>
      <c r="DI305" s="85"/>
      <c r="DJ305" s="85"/>
      <c r="DK305" s="85"/>
      <c r="DL305" s="85"/>
      <c r="DM305" s="85"/>
      <c r="DN305" s="85"/>
      <c r="DO305" s="85"/>
      <c r="DP305" s="85"/>
      <c r="DQ305" s="79"/>
      <c r="DR305" s="79"/>
      <c r="DS305" s="96"/>
      <c r="DT305" s="79"/>
      <c r="DU305" s="79"/>
      <c r="DV305" s="79"/>
      <c r="DW305" s="79"/>
      <c r="DX305" s="79"/>
      <c r="DY305" s="79"/>
      <c r="DZ305" s="79"/>
      <c r="EA305" s="79"/>
      <c r="EB305" s="296"/>
      <c r="EC305" s="80"/>
      <c r="ED305" s="79"/>
      <c r="EE305" s="79"/>
      <c r="EF305" s="79"/>
      <c r="EG305" s="79"/>
      <c r="EH305" s="79"/>
      <c r="EI305" s="79"/>
      <c r="EJ305" s="79"/>
      <c r="EK305" s="79"/>
      <c r="EL305" s="79"/>
      <c r="EM305" s="79"/>
      <c r="EN305" s="79"/>
      <c r="EO305" s="79"/>
      <c r="EP305" s="79"/>
      <c r="EQ305" s="79"/>
      <c r="ER305" s="385"/>
      <c r="ES305" s="385"/>
      <c r="ET305" s="79"/>
      <c r="EU305" s="79"/>
      <c r="EV305" s="82"/>
      <c r="EW305" s="82"/>
      <c r="EX305" s="82"/>
      <c r="EY305" s="82"/>
      <c r="EZ305" s="82"/>
      <c r="FA305" s="82"/>
      <c r="FB305" s="82"/>
      <c r="FC305" s="244"/>
      <c r="FD305" s="245"/>
    </row>
    <row r="306" spans="1:160" ht="12" hidden="1">
      <c r="A306" s="156">
        <f t="shared" si="111"/>
        <v>1</v>
      </c>
      <c r="DD306" s="85" t="s">
        <v>14</v>
      </c>
      <c r="DE306" s="85"/>
      <c r="DF306" s="85"/>
      <c r="DG306" s="85"/>
      <c r="DH306" s="85"/>
      <c r="DI306" s="85"/>
      <c r="DJ306" s="85"/>
      <c r="DK306" s="85"/>
      <c r="DL306" s="85"/>
      <c r="DM306" s="85"/>
      <c r="DN306" s="85"/>
      <c r="DO306" s="85"/>
      <c r="DP306" s="85"/>
      <c r="DQ306" s="79"/>
      <c r="DR306" s="79"/>
      <c r="DS306" s="96"/>
      <c r="DT306" s="79"/>
      <c r="DU306" s="79"/>
      <c r="DV306" s="79"/>
      <c r="DW306" s="79"/>
      <c r="DX306" s="79"/>
      <c r="DY306" s="79"/>
      <c r="DZ306" s="79"/>
      <c r="EA306" s="79"/>
      <c r="EB306" s="296"/>
      <c r="EC306" s="80"/>
      <c r="ED306" s="79"/>
      <c r="EE306" s="79"/>
      <c r="EF306" s="79"/>
      <c r="EG306" s="79"/>
      <c r="EH306" s="79"/>
      <c r="EI306" s="79"/>
      <c r="EJ306" s="79"/>
      <c r="EK306" s="79"/>
      <c r="EL306" s="79"/>
      <c r="EM306" s="79"/>
      <c r="EN306" s="79"/>
      <c r="EO306" s="79"/>
      <c r="EP306" s="79"/>
      <c r="EQ306" s="79"/>
      <c r="ER306" s="385"/>
      <c r="ES306" s="385"/>
      <c r="ET306" s="79"/>
      <c r="EU306" s="79"/>
      <c r="EV306" s="82"/>
      <c r="EW306" s="82"/>
      <c r="EX306" s="82"/>
      <c r="EY306" s="82"/>
      <c r="EZ306" s="82"/>
      <c r="FA306" s="82"/>
      <c r="FB306" s="82"/>
      <c r="FC306" s="244"/>
      <c r="FD306" s="245"/>
    </row>
    <row r="307" spans="1:160" ht="12" hidden="1">
      <c r="A307" s="156">
        <f t="shared" si="111"/>
        <v>1</v>
      </c>
      <c r="DD307" s="85" t="s">
        <v>14</v>
      </c>
      <c r="DE307" s="85"/>
      <c r="DF307" s="85"/>
      <c r="DG307" s="85"/>
      <c r="DH307" s="85"/>
      <c r="DI307" s="85"/>
      <c r="DJ307" s="85"/>
      <c r="DK307" s="85"/>
      <c r="DL307" s="85"/>
      <c r="DM307" s="85"/>
      <c r="DN307" s="85"/>
      <c r="DO307" s="85"/>
      <c r="DP307" s="85"/>
      <c r="DQ307" s="86"/>
      <c r="DR307" s="86"/>
      <c r="DS307" s="86"/>
      <c r="DT307" s="86"/>
      <c r="DU307" s="86"/>
      <c r="DV307" s="86"/>
      <c r="DW307" s="86"/>
      <c r="DX307" s="86"/>
      <c r="DY307" s="86"/>
      <c r="DZ307" s="86"/>
      <c r="EA307" s="86"/>
      <c r="EB307" s="296"/>
      <c r="EC307" s="86"/>
      <c r="ED307" s="486"/>
      <c r="EE307" s="486"/>
      <c r="EF307" s="79"/>
      <c r="EG307" s="486"/>
      <c r="EH307" s="486"/>
      <c r="EI307" s="79"/>
      <c r="EJ307" s="79"/>
      <c r="EK307" s="486"/>
      <c r="EL307" s="486"/>
      <c r="EM307" s="79"/>
      <c r="EN307" s="486"/>
      <c r="EO307" s="486"/>
      <c r="EP307" s="486"/>
      <c r="EQ307" s="486"/>
      <c r="ER307" s="385"/>
      <c r="ES307" s="385"/>
      <c r="ET307" s="486"/>
      <c r="EU307" s="486"/>
      <c r="EV307" s="82"/>
      <c r="EW307" s="82"/>
      <c r="EX307" s="82"/>
      <c r="EY307" s="82"/>
      <c r="EZ307" s="82"/>
      <c r="FA307" s="82"/>
      <c r="FB307" s="82"/>
      <c r="FC307" s="244"/>
      <c r="FD307" s="245"/>
    </row>
    <row r="308" spans="1:160" ht="12" hidden="1">
      <c r="A308" s="156">
        <f t="shared" si="111"/>
        <v>1</v>
      </c>
      <c r="DD308" s="85" t="s">
        <v>14</v>
      </c>
      <c r="DE308" s="85"/>
      <c r="DF308" s="85"/>
      <c r="DG308" s="85"/>
      <c r="DH308" s="85"/>
      <c r="DI308" s="85"/>
      <c r="DJ308" s="85"/>
      <c r="DK308" s="85"/>
      <c r="DL308" s="85"/>
      <c r="DM308" s="85"/>
      <c r="DN308" s="85"/>
      <c r="DO308" s="85"/>
      <c r="DP308" s="85"/>
      <c r="DQ308" s="86"/>
      <c r="DR308" s="86"/>
      <c r="DS308" s="86"/>
      <c r="DT308" s="86"/>
      <c r="DU308" s="86"/>
      <c r="DV308" s="86"/>
      <c r="DW308" s="86"/>
      <c r="DX308" s="86"/>
      <c r="DY308" s="86"/>
      <c r="DZ308" s="86"/>
      <c r="EA308" s="86"/>
      <c r="EB308" s="296"/>
      <c r="EC308" s="86"/>
      <c r="ED308" s="486"/>
      <c r="EE308" s="486"/>
      <c r="EF308" s="79"/>
      <c r="EG308" s="486"/>
      <c r="EH308" s="486"/>
      <c r="EI308" s="79"/>
      <c r="EJ308" s="79"/>
      <c r="EK308" s="486"/>
      <c r="EL308" s="486"/>
      <c r="EM308" s="79"/>
      <c r="EN308" s="486"/>
      <c r="EO308" s="486"/>
      <c r="EP308" s="486"/>
      <c r="EQ308" s="486"/>
      <c r="ER308" s="385"/>
      <c r="ES308" s="385"/>
      <c r="ET308" s="486"/>
      <c r="EU308" s="486"/>
      <c r="EV308" s="82"/>
      <c r="EW308" s="82"/>
      <c r="EX308" s="82"/>
      <c r="EY308" s="82"/>
      <c r="EZ308" s="82"/>
      <c r="FA308" s="82"/>
      <c r="FB308" s="82"/>
      <c r="FC308" s="244"/>
      <c r="FD308" s="245"/>
    </row>
    <row r="309" spans="1:160" ht="12" hidden="1">
      <c r="A309" s="156">
        <f t="shared" si="111"/>
        <v>1</v>
      </c>
      <c r="DD309" s="85" t="s">
        <v>14</v>
      </c>
      <c r="DE309" s="85"/>
      <c r="DF309" s="85"/>
      <c r="DG309" s="85"/>
      <c r="DH309" s="85"/>
      <c r="DI309" s="85"/>
      <c r="DJ309" s="85"/>
      <c r="DK309" s="85"/>
      <c r="DL309" s="85"/>
      <c r="DM309" s="85"/>
      <c r="DN309" s="85"/>
      <c r="DO309" s="85"/>
      <c r="DP309" s="85"/>
      <c r="DQ309" s="180"/>
      <c r="DR309" s="180"/>
      <c r="DS309" s="180"/>
      <c r="DT309" s="180"/>
      <c r="DU309" s="180"/>
      <c r="DV309" s="180"/>
      <c r="DW309" s="180"/>
      <c r="DX309" s="180"/>
      <c r="DY309" s="180"/>
      <c r="DZ309" s="180"/>
      <c r="EA309" s="180"/>
      <c r="EB309" s="297"/>
      <c r="EC309" s="180"/>
      <c r="ED309" s="499"/>
      <c r="EE309" s="499"/>
      <c r="EF309" s="177"/>
      <c r="EG309" s="499"/>
      <c r="EH309" s="499"/>
      <c r="EI309" s="177"/>
      <c r="EJ309" s="177"/>
      <c r="EK309" s="499"/>
      <c r="EL309" s="499"/>
      <c r="EM309" s="177"/>
      <c r="EN309" s="499"/>
      <c r="EO309" s="499"/>
      <c r="EP309" s="499"/>
      <c r="EQ309" s="499"/>
      <c r="ER309" s="385"/>
      <c r="ES309" s="385"/>
      <c r="ET309" s="499"/>
      <c r="EU309" s="499"/>
      <c r="EV309" s="164"/>
      <c r="EW309" s="164"/>
      <c r="EX309" s="164"/>
      <c r="EY309" s="164"/>
      <c r="EZ309" s="164"/>
      <c r="FA309" s="164"/>
      <c r="FB309" s="164"/>
      <c r="FC309" s="244"/>
      <c r="FD309" s="245"/>
    </row>
    <row r="310" spans="1:160" ht="12" hidden="1">
      <c r="A310" s="156">
        <f t="shared" si="111"/>
        <v>1</v>
      </c>
      <c r="DD310" s="86"/>
      <c r="DE310" s="86"/>
      <c r="DF310" s="86"/>
      <c r="DG310" s="86"/>
      <c r="DH310" s="86"/>
      <c r="DI310" s="86"/>
      <c r="DJ310" s="86"/>
      <c r="DK310" s="86"/>
      <c r="DL310" s="86"/>
      <c r="DM310" s="86"/>
      <c r="DN310" s="86"/>
      <c r="DO310" s="86"/>
      <c r="DP310" s="86"/>
      <c r="DQ310" s="86"/>
      <c r="DR310" s="86"/>
      <c r="DS310" s="86"/>
      <c r="DT310" s="86"/>
      <c r="DU310" s="86"/>
      <c r="DV310" s="86"/>
      <c r="DW310" s="86"/>
      <c r="DX310" s="86"/>
      <c r="DY310" s="86"/>
      <c r="DZ310" s="86"/>
      <c r="EA310" s="86"/>
      <c r="EB310" s="81"/>
      <c r="EC310" s="86"/>
      <c r="ED310" s="486"/>
      <c r="EE310" s="486"/>
      <c r="EF310" s="79"/>
      <c r="EG310" s="486"/>
      <c r="EH310" s="486"/>
      <c r="EI310" s="79"/>
      <c r="EJ310" s="79"/>
      <c r="EK310" s="486"/>
      <c r="EL310" s="486"/>
      <c r="EM310" s="79"/>
      <c r="EN310" s="486"/>
      <c r="EO310" s="486"/>
      <c r="EP310" s="486"/>
      <c r="EQ310" s="486"/>
      <c r="ER310" s="669">
        <f>ER276</f>
        <v>43858</v>
      </c>
      <c r="ES310" s="670"/>
      <c r="ET310" s="486">
        <f>SUM(ET280:EU309)</f>
        <v>0</v>
      </c>
      <c r="EU310" s="486"/>
      <c r="EV310" s="674">
        <f>IF(ER310="",0,IF(ET310=0,0,IF(ER310&gt;FF281,FE280,IF(ER310&gt;FF282,FE281,FE282))))</f>
        <v>0</v>
      </c>
      <c r="EW310" s="674"/>
      <c r="EX310" s="674"/>
      <c r="EY310" s="674"/>
      <c r="EZ310" s="674"/>
      <c r="FA310" s="674"/>
      <c r="FB310" s="179">
        <f>EV310</f>
        <v>0</v>
      </c>
      <c r="FC310" s="244"/>
      <c r="FD310" s="245"/>
    </row>
    <row r="311" spans="1:160" ht="12" hidden="1">
      <c r="A311" s="156">
        <f t="shared" si="111"/>
        <v>1</v>
      </c>
      <c r="FC311" s="244"/>
      <c r="FD311" s="245"/>
    </row>
    <row r="312" spans="1:164" ht="12" hidden="1">
      <c r="A312" s="156">
        <f t="shared" si="111"/>
        <v>1</v>
      </c>
      <c r="DD312" s="130" t="str">
        <f>P114</f>
        <v>LOCAZIONI e II.II. CON F24</v>
      </c>
      <c r="DE312" s="104"/>
      <c r="DF312" s="104"/>
      <c r="DG312" s="104"/>
      <c r="DH312" s="104"/>
      <c r="DI312" s="104"/>
      <c r="DJ312" s="104"/>
      <c r="DK312" s="104"/>
      <c r="DL312" s="104"/>
      <c r="DM312" s="104"/>
      <c r="DN312" s="104"/>
      <c r="DO312" s="104"/>
      <c r="DP312" s="104"/>
      <c r="DQ312" s="397" t="s">
        <v>32</v>
      </c>
      <c r="DR312" s="397"/>
      <c r="DS312" s="52" t="s">
        <v>33</v>
      </c>
      <c r="DT312" s="397" t="s">
        <v>34</v>
      </c>
      <c r="DU312" s="397"/>
      <c r="DV312" s="52" t="s">
        <v>48</v>
      </c>
      <c r="DW312" s="52" t="s">
        <v>33</v>
      </c>
      <c r="DX312" s="397" t="s">
        <v>36</v>
      </c>
      <c r="DY312" s="397"/>
      <c r="DZ312" s="52" t="s">
        <v>33</v>
      </c>
      <c r="EA312" s="4" t="s">
        <v>49</v>
      </c>
      <c r="EB312" s="81"/>
      <c r="EC312" s="4" t="s">
        <v>49</v>
      </c>
      <c r="ED312" s="397" t="s">
        <v>32</v>
      </c>
      <c r="EE312" s="397"/>
      <c r="EF312" s="52" t="s">
        <v>33</v>
      </c>
      <c r="EG312" s="397" t="s">
        <v>34</v>
      </c>
      <c r="EH312" s="397"/>
      <c r="EI312" s="52" t="s">
        <v>35</v>
      </c>
      <c r="EJ312" s="52" t="s">
        <v>33</v>
      </c>
      <c r="EK312" s="397" t="s">
        <v>36</v>
      </c>
      <c r="EL312" s="397"/>
      <c r="EM312" s="52" t="s">
        <v>33</v>
      </c>
      <c r="EN312" s="397" t="s">
        <v>37</v>
      </c>
      <c r="EO312" s="397"/>
      <c r="EP312" s="397" t="s">
        <v>38</v>
      </c>
      <c r="EQ312" s="397"/>
      <c r="ER312" s="397" t="s">
        <v>38</v>
      </c>
      <c r="ES312" s="397"/>
      <c r="ET312" s="397" t="s">
        <v>38</v>
      </c>
      <c r="EU312" s="397"/>
      <c r="EV312" s="395">
        <f>EX312-1</f>
        <v>2018</v>
      </c>
      <c r="EW312" s="395"/>
      <c r="EX312" s="395">
        <f>EZ312-1</f>
        <v>2019</v>
      </c>
      <c r="EY312" s="395"/>
      <c r="EZ312" s="395">
        <f>EZ278</f>
        <v>2020</v>
      </c>
      <c r="FA312" s="395"/>
      <c r="FB312" s="52" t="s">
        <v>39</v>
      </c>
      <c r="FC312" s="244"/>
      <c r="FD312" s="245"/>
      <c r="FE312" s="178">
        <f>FE278</f>
        <v>0</v>
      </c>
      <c r="FF312" s="178">
        <f>FF278</f>
        <v>1</v>
      </c>
      <c r="FG312" s="673">
        <f>FG278</f>
        <v>1900</v>
      </c>
      <c r="FH312" s="673"/>
    </row>
    <row r="313" spans="1:160" ht="12" hidden="1">
      <c r="A313" s="156">
        <f t="shared" si="111"/>
        <v>1</v>
      </c>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4"/>
      <c r="EC313" s="5"/>
      <c r="ED313" s="5"/>
      <c r="EE313" s="5"/>
      <c r="EF313" s="5"/>
      <c r="EG313" s="5"/>
      <c r="EH313" s="5"/>
      <c r="EI313" s="5"/>
      <c r="EJ313" s="5"/>
      <c r="EK313" s="5"/>
      <c r="EL313" s="5"/>
      <c r="EM313" s="5"/>
      <c r="EN313" s="5"/>
      <c r="EO313" s="5"/>
      <c r="EP313" s="5"/>
      <c r="EQ313" s="5"/>
      <c r="ER313" s="5"/>
      <c r="ES313" s="5"/>
      <c r="FC313" s="244"/>
      <c r="FD313" s="245"/>
    </row>
    <row r="314" spans="1:166" ht="12" hidden="1">
      <c r="A314" s="156">
        <f t="shared" si="111"/>
        <v>1</v>
      </c>
      <c r="CQ314" s="326">
        <f>IF(AH44=CS314,1,IF(AH44=CT314,1.5,IF(AH44=CU314,2,IF(AH44=CV314,3,IF(AH44=CW314,4,IF(AH44=CX314,6,IF(AH44=CY314,9,0)))))))</f>
        <v>4</v>
      </c>
      <c r="CR314" s="324" t="s">
        <v>259</v>
      </c>
      <c r="CS314" s="324" t="s">
        <v>260</v>
      </c>
      <c r="CT314" s="327" t="s">
        <v>261</v>
      </c>
      <c r="CU314" s="324" t="s">
        <v>262</v>
      </c>
      <c r="CV314" s="324" t="s">
        <v>263</v>
      </c>
      <c r="CW314" s="324" t="s">
        <v>19</v>
      </c>
      <c r="CX314" s="324" t="s">
        <v>264</v>
      </c>
      <c r="CY314" s="324" t="s">
        <v>265</v>
      </c>
      <c r="CZ314" s="325" t="s">
        <v>266</v>
      </c>
      <c r="DA314" s="325" t="s">
        <v>267</v>
      </c>
      <c r="DB314" s="325" t="s">
        <v>268</v>
      </c>
      <c r="DC314" s="325" t="s">
        <v>269</v>
      </c>
      <c r="DD314" s="104" t="s">
        <v>270</v>
      </c>
      <c r="DE314" s="104"/>
      <c r="DF314" s="104"/>
      <c r="DG314" s="104"/>
      <c r="DH314" s="104"/>
      <c r="DI314" s="104"/>
      <c r="DJ314" s="104"/>
      <c r="DK314" s="104"/>
      <c r="DL314" s="104"/>
      <c r="DM314" s="104"/>
      <c r="DN314" s="104"/>
      <c r="DO314" s="104"/>
      <c r="DP314" s="104"/>
      <c r="DQ314" s="498" t="str">
        <f aca="true" t="shared" si="112" ref="DQ314:DQ323">LEFT(DD314,4)</f>
        <v>1500</v>
      </c>
      <c r="DR314" s="498"/>
      <c r="DS314" s="106">
        <v>11</v>
      </c>
      <c r="DT314" s="498">
        <v>1507</v>
      </c>
      <c r="DU314" s="498"/>
      <c r="DV314" s="106">
        <v>5</v>
      </c>
      <c r="DW314" s="106">
        <f aca="true" t="shared" si="113" ref="DW314:DW323">DS314</f>
        <v>11</v>
      </c>
      <c r="DX314" s="498">
        <v>1508</v>
      </c>
      <c r="DY314" s="498"/>
      <c r="DZ314" s="106">
        <f aca="true" t="shared" si="114" ref="DZ314:DZ323">DS314</f>
        <v>11</v>
      </c>
      <c r="EA314" s="107">
        <f>EA280</f>
        <v>1</v>
      </c>
      <c r="EB314" s="295"/>
      <c r="EC314" s="107">
        <f aca="true" t="shared" si="115" ref="EC314:EC323">IF(M107=DQ314,1,0)*EA314</f>
        <v>0</v>
      </c>
      <c r="ED314" s="498">
        <f>DQ314*EC314</f>
        <v>0</v>
      </c>
      <c r="EE314" s="498"/>
      <c r="EF314" s="106">
        <f aca="true" t="shared" si="116" ref="EF314:EF323">DS314*EC314</f>
        <v>0</v>
      </c>
      <c r="EG314" s="498">
        <f aca="true" t="shared" si="117" ref="EG314:EG323">DT314*EC314</f>
        <v>0</v>
      </c>
      <c r="EH314" s="498"/>
      <c r="EI314" s="106">
        <f aca="true" t="shared" si="118" ref="EI314:EI323">DV314*EC314</f>
        <v>0</v>
      </c>
      <c r="EJ314" s="106">
        <f aca="true" t="shared" si="119" ref="EJ314:EJ323">DW314*EC314</f>
        <v>0</v>
      </c>
      <c r="EK314" s="498">
        <f aca="true" t="shared" si="120" ref="EK314:EK323">DX314*EC314</f>
        <v>0</v>
      </c>
      <c r="EL314" s="498"/>
      <c r="EM314" s="106">
        <f aca="true" t="shared" si="121" ref="EM314:EM323">DZ314*EC314</f>
        <v>0</v>
      </c>
      <c r="EN314" s="498">
        <v>0</v>
      </c>
      <c r="EO314" s="498"/>
      <c r="EP314" s="498">
        <f>IF(ER314&lt;&gt;0,EC314*ER314,0)</f>
        <v>0</v>
      </c>
      <c r="EQ314" s="498"/>
      <c r="ER314" s="385">
        <f>ER280</f>
        <v>0</v>
      </c>
      <c r="ES314" s="385"/>
      <c r="ET314" s="498">
        <f aca="true" t="shared" si="122" ref="ET314:ET323">EC314*ER314</f>
        <v>0</v>
      </c>
      <c r="EU314" s="498"/>
      <c r="EV314" s="398">
        <f>IF(ER344="",0,IF(ET314=0,0,IF(ER344&gt;FF315,FE314,IF(ER344&gt;FF316,FE315,FE316))))</f>
        <v>0</v>
      </c>
      <c r="EW314" s="398"/>
      <c r="EX314" s="398"/>
      <c r="EY314" s="398"/>
      <c r="EZ314" s="398"/>
      <c r="FA314" s="398"/>
      <c r="FB314" s="183">
        <f aca="true" t="shared" si="123" ref="FB314:FB323">EV314</f>
        <v>0</v>
      </c>
      <c r="FC314" s="244"/>
      <c r="FD314" s="245"/>
      <c r="FE314" s="55">
        <v>4</v>
      </c>
      <c r="FJ314" s="159" t="s">
        <v>236</v>
      </c>
    </row>
    <row r="315" spans="1:183" ht="12" hidden="1">
      <c r="A315" s="156">
        <f t="shared" si="111"/>
        <v>1</v>
      </c>
      <c r="DD315" s="105" t="s">
        <v>271</v>
      </c>
      <c r="DE315" s="105"/>
      <c r="DF315" s="105"/>
      <c r="DG315" s="105"/>
      <c r="DH315" s="105"/>
      <c r="DI315" s="105"/>
      <c r="DJ315" s="105"/>
      <c r="DK315" s="105"/>
      <c r="DL315" s="105"/>
      <c r="DM315" s="105"/>
      <c r="DN315" s="105"/>
      <c r="DO315" s="105"/>
      <c r="DP315" s="105"/>
      <c r="DQ315" s="498" t="str">
        <f t="shared" si="112"/>
        <v>0000</v>
      </c>
      <c r="DR315" s="498"/>
      <c r="DS315" s="109">
        <v>11</v>
      </c>
      <c r="DT315" s="498">
        <v>1507</v>
      </c>
      <c r="DU315" s="498"/>
      <c r="DV315" s="106">
        <v>5</v>
      </c>
      <c r="DW315" s="106">
        <f t="shared" si="113"/>
        <v>11</v>
      </c>
      <c r="DX315" s="498">
        <v>1507</v>
      </c>
      <c r="DY315" s="498"/>
      <c r="DZ315" s="106">
        <f t="shared" si="114"/>
        <v>11</v>
      </c>
      <c r="EA315" s="107">
        <f aca="true" t="shared" si="124" ref="EA315:EA323">EA314</f>
        <v>1</v>
      </c>
      <c r="EB315" s="296"/>
      <c r="EC315" s="107">
        <f t="shared" si="115"/>
        <v>0</v>
      </c>
      <c r="ED315" s="498">
        <f>1507*EC315</f>
        <v>0</v>
      </c>
      <c r="EE315" s="498"/>
      <c r="EF315" s="106">
        <f t="shared" si="116"/>
        <v>0</v>
      </c>
      <c r="EG315" s="498">
        <f t="shared" si="117"/>
        <v>0</v>
      </c>
      <c r="EH315" s="498"/>
      <c r="EI315" s="106">
        <f t="shared" si="118"/>
        <v>0</v>
      </c>
      <c r="EJ315" s="106">
        <f t="shared" si="119"/>
        <v>0</v>
      </c>
      <c r="EK315" s="498">
        <f t="shared" si="120"/>
        <v>0</v>
      </c>
      <c r="EL315" s="498"/>
      <c r="EM315" s="106">
        <f t="shared" si="121"/>
        <v>0</v>
      </c>
      <c r="EN315" s="498">
        <v>0</v>
      </c>
      <c r="EO315" s="498"/>
      <c r="EP315" s="498">
        <f>EC315*9999</f>
        <v>0</v>
      </c>
      <c r="EQ315" s="498"/>
      <c r="ER315" s="385">
        <f aca="true" t="shared" si="125" ref="ER315:ER323">ER314</f>
        <v>0</v>
      </c>
      <c r="ES315" s="385"/>
      <c r="ET315" s="498">
        <f t="shared" si="122"/>
        <v>0</v>
      </c>
      <c r="EU315" s="498"/>
      <c r="EV315" s="398">
        <f>IF(ER344="",0,IF(ET315=0,0,IF(ER344&gt;FF315,FE314,IF(ER344&gt;FF316,FE315,FE316))))</f>
        <v>0</v>
      </c>
      <c r="EW315" s="398"/>
      <c r="EX315" s="398"/>
      <c r="EY315" s="398"/>
      <c r="EZ315" s="398"/>
      <c r="FA315" s="398"/>
      <c r="FB315" s="183">
        <f t="shared" si="123"/>
        <v>0</v>
      </c>
      <c r="FC315" s="244"/>
      <c r="FD315" s="245"/>
      <c r="FE315" s="55">
        <v>3</v>
      </c>
      <c r="FF315" s="394">
        <f>FF262</f>
        <v>731</v>
      </c>
      <c r="FG315" s="394"/>
      <c r="FH315" s="394"/>
      <c r="FI315" s="394"/>
      <c r="FJ315" s="159" t="s">
        <v>237</v>
      </c>
      <c r="GA315" s="272"/>
    </row>
    <row r="316" spans="1:183" ht="12" hidden="1">
      <c r="A316" s="156">
        <f t="shared" si="111"/>
        <v>1</v>
      </c>
      <c r="DD316" s="104" t="s">
        <v>272</v>
      </c>
      <c r="DE316" s="104"/>
      <c r="DF316" s="104"/>
      <c r="DG316" s="104"/>
      <c r="DH316" s="104"/>
      <c r="DI316" s="104"/>
      <c r="DJ316" s="104"/>
      <c r="DK316" s="104"/>
      <c r="DL316" s="104"/>
      <c r="DM316" s="104"/>
      <c r="DN316" s="104"/>
      <c r="DO316" s="104"/>
      <c r="DP316" s="104"/>
      <c r="DQ316" s="498" t="str">
        <f t="shared" si="112"/>
        <v>1501</v>
      </c>
      <c r="DR316" s="498"/>
      <c r="DS316" s="106">
        <v>11</v>
      </c>
      <c r="DT316" s="498">
        <v>1509</v>
      </c>
      <c r="DU316" s="498"/>
      <c r="DV316" s="106">
        <v>1</v>
      </c>
      <c r="DW316" s="106">
        <f t="shared" si="113"/>
        <v>11</v>
      </c>
      <c r="DX316" s="498">
        <v>1510</v>
      </c>
      <c r="DY316" s="498"/>
      <c r="DZ316" s="106">
        <f t="shared" si="114"/>
        <v>11</v>
      </c>
      <c r="EA316" s="107">
        <f t="shared" si="124"/>
        <v>1</v>
      </c>
      <c r="EB316" s="295"/>
      <c r="EC316" s="107">
        <f t="shared" si="115"/>
        <v>0</v>
      </c>
      <c r="ED316" s="498">
        <f aca="true" t="shared" si="126" ref="ED316:ED323">DQ316*EC316</f>
        <v>0</v>
      </c>
      <c r="EE316" s="498"/>
      <c r="EF316" s="106">
        <f t="shared" si="116"/>
        <v>0</v>
      </c>
      <c r="EG316" s="498">
        <f t="shared" si="117"/>
        <v>0</v>
      </c>
      <c r="EH316" s="498"/>
      <c r="EI316" s="106">
        <f t="shared" si="118"/>
        <v>0</v>
      </c>
      <c r="EJ316" s="106">
        <f t="shared" si="119"/>
        <v>0</v>
      </c>
      <c r="EK316" s="498">
        <f t="shared" si="120"/>
        <v>0</v>
      </c>
      <c r="EL316" s="498"/>
      <c r="EM316" s="106">
        <f t="shared" si="121"/>
        <v>0</v>
      </c>
      <c r="EN316" s="498">
        <v>0</v>
      </c>
      <c r="EO316" s="498"/>
      <c r="EP316" s="498">
        <f>IF(ER316&lt;&gt;0,EC316*ER316,0)</f>
        <v>0</v>
      </c>
      <c r="EQ316" s="498"/>
      <c r="ER316" s="385">
        <f t="shared" si="125"/>
        <v>0</v>
      </c>
      <c r="ES316" s="385"/>
      <c r="ET316" s="498">
        <f t="shared" si="122"/>
        <v>0</v>
      </c>
      <c r="EU316" s="498"/>
      <c r="EV316" s="398">
        <f>IF(ER344="",0,IF(ET316=0,0,IF(ER344&gt;FF315,FE314,IF(ER344&gt;FF316,FE315,FE316))))</f>
        <v>0</v>
      </c>
      <c r="EW316" s="398"/>
      <c r="EX316" s="398"/>
      <c r="EY316" s="398"/>
      <c r="EZ316" s="398"/>
      <c r="FA316" s="398"/>
      <c r="FB316" s="183">
        <f t="shared" si="123"/>
        <v>0</v>
      </c>
      <c r="FC316" s="244"/>
      <c r="FD316" s="245"/>
      <c r="FE316" s="55">
        <v>2</v>
      </c>
      <c r="FF316" s="394">
        <f>FF263</f>
        <v>366</v>
      </c>
      <c r="FG316" s="394"/>
      <c r="FH316" s="394"/>
      <c r="FI316" s="394"/>
      <c r="FJ316" s="159" t="s">
        <v>238</v>
      </c>
      <c r="GA316" s="272"/>
    </row>
    <row r="317" spans="1:183" ht="12" hidden="1">
      <c r="A317" s="156">
        <f t="shared" si="111"/>
        <v>1</v>
      </c>
      <c r="DD317" s="104" t="s">
        <v>273</v>
      </c>
      <c r="DE317" s="104"/>
      <c r="DF317" s="104"/>
      <c r="DG317" s="104"/>
      <c r="DH317" s="104"/>
      <c r="DI317" s="104"/>
      <c r="DJ317" s="104"/>
      <c r="DK317" s="104"/>
      <c r="DL317" s="104"/>
      <c r="DM317" s="104"/>
      <c r="DN317" s="104"/>
      <c r="DO317" s="104"/>
      <c r="DP317" s="104"/>
      <c r="DQ317" s="498" t="str">
        <f t="shared" si="112"/>
        <v>1502</v>
      </c>
      <c r="DR317" s="498"/>
      <c r="DS317" s="106">
        <v>11</v>
      </c>
      <c r="DT317" s="498">
        <v>1509</v>
      </c>
      <c r="DU317" s="498"/>
      <c r="DV317" s="106">
        <v>1</v>
      </c>
      <c r="DW317" s="106">
        <f t="shared" si="113"/>
        <v>11</v>
      </c>
      <c r="DX317" s="498">
        <v>1510</v>
      </c>
      <c r="DY317" s="498"/>
      <c r="DZ317" s="106">
        <f t="shared" si="114"/>
        <v>11</v>
      </c>
      <c r="EA317" s="107">
        <f t="shared" si="124"/>
        <v>1</v>
      </c>
      <c r="EB317" s="295"/>
      <c r="EC317" s="107">
        <f t="shared" si="115"/>
        <v>0</v>
      </c>
      <c r="ED317" s="498">
        <f t="shared" si="126"/>
        <v>0</v>
      </c>
      <c r="EE317" s="498"/>
      <c r="EF317" s="106">
        <f t="shared" si="116"/>
        <v>0</v>
      </c>
      <c r="EG317" s="498">
        <f t="shared" si="117"/>
        <v>0</v>
      </c>
      <c r="EH317" s="498"/>
      <c r="EI317" s="106">
        <f t="shared" si="118"/>
        <v>0</v>
      </c>
      <c r="EJ317" s="106">
        <f t="shared" si="119"/>
        <v>0</v>
      </c>
      <c r="EK317" s="498">
        <f t="shared" si="120"/>
        <v>0</v>
      </c>
      <c r="EL317" s="498"/>
      <c r="EM317" s="106">
        <f t="shared" si="121"/>
        <v>0</v>
      </c>
      <c r="EN317" s="498">
        <v>0</v>
      </c>
      <c r="EO317" s="498"/>
      <c r="EP317" s="498">
        <f>IF(ER317&lt;&gt;0,EC317*ER317,0)</f>
        <v>0</v>
      </c>
      <c r="EQ317" s="498"/>
      <c r="ER317" s="385">
        <f t="shared" si="125"/>
        <v>0</v>
      </c>
      <c r="ES317" s="385"/>
      <c r="ET317" s="498">
        <f t="shared" si="122"/>
        <v>0</v>
      </c>
      <c r="EU317" s="498"/>
      <c r="EV317" s="398">
        <f>IF(ER344="",0,IF(ET317=0,0,IF(ER344&gt;FF315,FE314,IF(ER344&gt;FF316,FE315,FE316))))</f>
        <v>0</v>
      </c>
      <c r="EW317" s="398"/>
      <c r="EX317" s="398"/>
      <c r="EY317" s="398"/>
      <c r="EZ317" s="398"/>
      <c r="FA317" s="398"/>
      <c r="FB317" s="183">
        <f t="shared" si="123"/>
        <v>0</v>
      </c>
      <c r="FC317" s="244"/>
      <c r="FD317" s="245"/>
      <c r="FE317" s="55">
        <v>1</v>
      </c>
      <c r="FF317" s="394">
        <f>FF264</f>
        <v>90</v>
      </c>
      <c r="FG317" s="394"/>
      <c r="FH317" s="394"/>
      <c r="FI317" s="394"/>
      <c r="FJ317" s="159" t="s">
        <v>239</v>
      </c>
      <c r="GA317" s="272"/>
    </row>
    <row r="318" spans="1:160" ht="12" hidden="1">
      <c r="A318" s="156">
        <f t="shared" si="111"/>
        <v>1</v>
      </c>
      <c r="DD318" s="104" t="s">
        <v>274</v>
      </c>
      <c r="DE318" s="104"/>
      <c r="DF318" s="104"/>
      <c r="DG318" s="104"/>
      <c r="DH318" s="104"/>
      <c r="DI318" s="104"/>
      <c r="DJ318" s="104"/>
      <c r="DK318" s="104"/>
      <c r="DL318" s="104"/>
      <c r="DM318" s="104"/>
      <c r="DN318" s="104"/>
      <c r="DO318" s="104"/>
      <c r="DP318" s="104"/>
      <c r="DQ318" s="498" t="str">
        <f t="shared" si="112"/>
        <v>1503</v>
      </c>
      <c r="DR318" s="498"/>
      <c r="DS318" s="106">
        <v>11</v>
      </c>
      <c r="DT318" s="498">
        <v>1509</v>
      </c>
      <c r="DU318" s="498"/>
      <c r="DV318" s="106">
        <v>1</v>
      </c>
      <c r="DW318" s="106">
        <f t="shared" si="113"/>
        <v>11</v>
      </c>
      <c r="DX318" s="498">
        <v>1510</v>
      </c>
      <c r="DY318" s="498"/>
      <c r="DZ318" s="106">
        <f t="shared" si="114"/>
        <v>11</v>
      </c>
      <c r="EA318" s="107">
        <f t="shared" si="124"/>
        <v>1</v>
      </c>
      <c r="EB318" s="295"/>
      <c r="EC318" s="107">
        <f t="shared" si="115"/>
        <v>0</v>
      </c>
      <c r="ED318" s="498">
        <f t="shared" si="126"/>
        <v>0</v>
      </c>
      <c r="EE318" s="498"/>
      <c r="EF318" s="106">
        <f t="shared" si="116"/>
        <v>0</v>
      </c>
      <c r="EG318" s="498">
        <f t="shared" si="117"/>
        <v>0</v>
      </c>
      <c r="EH318" s="498"/>
      <c r="EI318" s="106">
        <f t="shared" si="118"/>
        <v>0</v>
      </c>
      <c r="EJ318" s="106">
        <f t="shared" si="119"/>
        <v>0</v>
      </c>
      <c r="EK318" s="498">
        <f t="shared" si="120"/>
        <v>0</v>
      </c>
      <c r="EL318" s="498"/>
      <c r="EM318" s="106">
        <f t="shared" si="121"/>
        <v>0</v>
      </c>
      <c r="EN318" s="498">
        <v>0</v>
      </c>
      <c r="EO318" s="498"/>
      <c r="EP318" s="498">
        <f>IF(ER318&lt;&gt;0,EC318*ER318,0)</f>
        <v>0</v>
      </c>
      <c r="EQ318" s="498"/>
      <c r="ER318" s="385">
        <f t="shared" si="125"/>
        <v>0</v>
      </c>
      <c r="ES318" s="385"/>
      <c r="ET318" s="498">
        <f t="shared" si="122"/>
        <v>0</v>
      </c>
      <c r="EU318" s="498"/>
      <c r="EV318" s="398">
        <f>IF(ER344="",0,IF(ET318=0,0,IF(ER344&gt;FF315,FE314,IF(ER344&gt;FF316,FE315,FE316))))</f>
        <v>0</v>
      </c>
      <c r="EW318" s="398"/>
      <c r="EX318" s="398"/>
      <c r="EY318" s="398"/>
      <c r="EZ318" s="398"/>
      <c r="FA318" s="398"/>
      <c r="FB318" s="183">
        <f t="shared" si="123"/>
        <v>0</v>
      </c>
      <c r="FC318" s="244"/>
      <c r="FD318" s="245"/>
    </row>
    <row r="319" spans="1:160" ht="12" hidden="1">
      <c r="A319" s="156">
        <f t="shared" si="111"/>
        <v>1</v>
      </c>
      <c r="DD319" s="104" t="s">
        <v>275</v>
      </c>
      <c r="DE319" s="104"/>
      <c r="DF319" s="104"/>
      <c r="DG319" s="104"/>
      <c r="DH319" s="104"/>
      <c r="DI319" s="104"/>
      <c r="DJ319" s="104"/>
      <c r="DK319" s="104"/>
      <c r="DL319" s="104"/>
      <c r="DM319" s="104"/>
      <c r="DN319" s="104"/>
      <c r="DO319" s="104"/>
      <c r="DP319" s="104"/>
      <c r="DQ319" s="498" t="str">
        <f t="shared" si="112"/>
        <v>1504</v>
      </c>
      <c r="DR319" s="498"/>
      <c r="DS319" s="106">
        <v>11</v>
      </c>
      <c r="DT319" s="498">
        <v>1509</v>
      </c>
      <c r="DU319" s="498"/>
      <c r="DV319" s="106">
        <v>1</v>
      </c>
      <c r="DW319" s="106">
        <f t="shared" si="113"/>
        <v>11</v>
      </c>
      <c r="DX319" s="498">
        <v>1510</v>
      </c>
      <c r="DY319" s="498"/>
      <c r="DZ319" s="106">
        <f t="shared" si="114"/>
        <v>11</v>
      </c>
      <c r="EA319" s="107">
        <f t="shared" si="124"/>
        <v>1</v>
      </c>
      <c r="EB319" s="295"/>
      <c r="EC319" s="107">
        <f t="shared" si="115"/>
        <v>0</v>
      </c>
      <c r="ED319" s="498">
        <f t="shared" si="126"/>
        <v>0</v>
      </c>
      <c r="EE319" s="498"/>
      <c r="EF319" s="106">
        <f t="shared" si="116"/>
        <v>0</v>
      </c>
      <c r="EG319" s="498">
        <f t="shared" si="117"/>
        <v>0</v>
      </c>
      <c r="EH319" s="498"/>
      <c r="EI319" s="106">
        <f t="shared" si="118"/>
        <v>0</v>
      </c>
      <c r="EJ319" s="106">
        <f t="shared" si="119"/>
        <v>0</v>
      </c>
      <c r="EK319" s="498">
        <f t="shared" si="120"/>
        <v>0</v>
      </c>
      <c r="EL319" s="498"/>
      <c r="EM319" s="106">
        <f t="shared" si="121"/>
        <v>0</v>
      </c>
      <c r="EN319" s="498">
        <v>0</v>
      </c>
      <c r="EO319" s="498"/>
      <c r="EP319" s="498">
        <f>IF(ER319&lt;&gt;0,EC319*ER319,0)</f>
        <v>0</v>
      </c>
      <c r="EQ319" s="498"/>
      <c r="ER319" s="385">
        <f t="shared" si="125"/>
        <v>0</v>
      </c>
      <c r="ES319" s="385"/>
      <c r="ET319" s="498">
        <f t="shared" si="122"/>
        <v>0</v>
      </c>
      <c r="EU319" s="498"/>
      <c r="EV319" s="398">
        <f>IF(ER344="",0,IF(ET319=0,0,IF(ER344&gt;FF315,FE314,IF(ER344&gt;FF316,FE315,FE316))))</f>
        <v>0</v>
      </c>
      <c r="EW319" s="398"/>
      <c r="EX319" s="398"/>
      <c r="EY319" s="398"/>
      <c r="EZ319" s="398"/>
      <c r="FA319" s="398"/>
      <c r="FB319" s="183">
        <f t="shared" si="123"/>
        <v>0</v>
      </c>
      <c r="FC319" s="244"/>
      <c r="FD319" s="245"/>
    </row>
    <row r="320" spans="1:160" ht="12" hidden="1">
      <c r="A320" s="156">
        <f t="shared" si="111"/>
        <v>1</v>
      </c>
      <c r="DD320" s="105" t="s">
        <v>276</v>
      </c>
      <c r="DE320" s="104"/>
      <c r="DF320" s="104"/>
      <c r="DG320" s="104"/>
      <c r="DH320" s="104"/>
      <c r="DI320" s="104"/>
      <c r="DJ320" s="104"/>
      <c r="DK320" s="104"/>
      <c r="DL320" s="104"/>
      <c r="DM320" s="104"/>
      <c r="DN320" s="104"/>
      <c r="DO320" s="104"/>
      <c r="DP320" s="104"/>
      <c r="DQ320" s="498" t="str">
        <f t="shared" si="112"/>
        <v>1505</v>
      </c>
      <c r="DR320" s="498"/>
      <c r="DS320" s="109">
        <v>11</v>
      </c>
      <c r="DT320" s="498">
        <v>1507</v>
      </c>
      <c r="DU320" s="498"/>
      <c r="DV320" s="106">
        <v>4</v>
      </c>
      <c r="DW320" s="106">
        <f t="shared" si="113"/>
        <v>11</v>
      </c>
      <c r="DX320" s="498">
        <v>1508</v>
      </c>
      <c r="DY320" s="498"/>
      <c r="DZ320" s="106">
        <f t="shared" si="114"/>
        <v>11</v>
      </c>
      <c r="EA320" s="107">
        <f t="shared" si="124"/>
        <v>1</v>
      </c>
      <c r="EB320" s="295"/>
      <c r="EC320" s="107">
        <f t="shared" si="115"/>
        <v>0</v>
      </c>
      <c r="ED320" s="498">
        <f t="shared" si="126"/>
        <v>0</v>
      </c>
      <c r="EE320" s="498"/>
      <c r="EF320" s="106">
        <f t="shared" si="116"/>
        <v>0</v>
      </c>
      <c r="EG320" s="498">
        <f t="shared" si="117"/>
        <v>0</v>
      </c>
      <c r="EH320" s="498"/>
      <c r="EI320" s="106">
        <f t="shared" si="118"/>
        <v>0</v>
      </c>
      <c r="EJ320" s="106">
        <f t="shared" si="119"/>
        <v>0</v>
      </c>
      <c r="EK320" s="498">
        <f t="shared" si="120"/>
        <v>0</v>
      </c>
      <c r="EL320" s="498"/>
      <c r="EM320" s="106">
        <f t="shared" si="121"/>
        <v>0</v>
      </c>
      <c r="EN320" s="498">
        <v>0</v>
      </c>
      <c r="EO320" s="498"/>
      <c r="EP320" s="498">
        <f>IF(ER320&lt;&gt;0,EC320*ER320,0)</f>
        <v>0</v>
      </c>
      <c r="EQ320" s="498"/>
      <c r="ER320" s="385">
        <f t="shared" si="125"/>
        <v>0</v>
      </c>
      <c r="ES320" s="385"/>
      <c r="ET320" s="498">
        <f t="shared" si="122"/>
        <v>0</v>
      </c>
      <c r="EU320" s="498"/>
      <c r="EV320" s="398">
        <f>IF(ER344="",0,IF(ET320=0,0,IF(ER344&gt;FF315,FE314,IF(ER344&gt;FF316,FE315,FE316))))</f>
        <v>0</v>
      </c>
      <c r="EW320" s="398"/>
      <c r="EX320" s="398"/>
      <c r="EY320" s="398"/>
      <c r="EZ320" s="398"/>
      <c r="FA320" s="398"/>
      <c r="FB320" s="183">
        <f t="shared" si="123"/>
        <v>0</v>
      </c>
      <c r="FC320" s="244"/>
      <c r="FD320" s="245"/>
    </row>
    <row r="321" spans="1:160" ht="12" hidden="1">
      <c r="A321" s="156">
        <f t="shared" si="111"/>
        <v>1</v>
      </c>
      <c r="DD321" s="105" t="s">
        <v>277</v>
      </c>
      <c r="DE321" s="104"/>
      <c r="DF321" s="104"/>
      <c r="DG321" s="104"/>
      <c r="DH321" s="104"/>
      <c r="DI321" s="104"/>
      <c r="DJ321" s="104"/>
      <c r="DK321" s="104"/>
      <c r="DL321" s="104"/>
      <c r="DM321" s="104"/>
      <c r="DN321" s="104"/>
      <c r="DO321" s="104"/>
      <c r="DP321" s="104"/>
      <c r="DQ321" s="498" t="str">
        <f t="shared" si="112"/>
        <v>2501</v>
      </c>
      <c r="DR321" s="498"/>
      <c r="DS321" s="109">
        <v>2</v>
      </c>
      <c r="DT321" s="498">
        <v>2502</v>
      </c>
      <c r="DU321" s="498"/>
      <c r="DV321" s="106">
        <v>1</v>
      </c>
      <c r="DW321" s="106">
        <f t="shared" si="113"/>
        <v>2</v>
      </c>
      <c r="DX321" s="498">
        <v>2503</v>
      </c>
      <c r="DY321" s="498"/>
      <c r="DZ321" s="106">
        <f t="shared" si="114"/>
        <v>2</v>
      </c>
      <c r="EA321" s="107">
        <f t="shared" si="124"/>
        <v>1</v>
      </c>
      <c r="EB321" s="295"/>
      <c r="EC321" s="107">
        <f t="shared" si="115"/>
        <v>0</v>
      </c>
      <c r="ED321" s="498">
        <f t="shared" si="126"/>
        <v>0</v>
      </c>
      <c r="EE321" s="498"/>
      <c r="EF321" s="106">
        <f t="shared" si="116"/>
        <v>0</v>
      </c>
      <c r="EG321" s="498">
        <f t="shared" si="117"/>
        <v>0</v>
      </c>
      <c r="EH321" s="498"/>
      <c r="EI321" s="106">
        <f t="shared" si="118"/>
        <v>0</v>
      </c>
      <c r="EJ321" s="106">
        <f t="shared" si="119"/>
        <v>0</v>
      </c>
      <c r="EK321" s="498">
        <f t="shared" si="120"/>
        <v>0</v>
      </c>
      <c r="EL321" s="498"/>
      <c r="EM321" s="106">
        <f t="shared" si="121"/>
        <v>0</v>
      </c>
      <c r="EN321" s="498">
        <v>0</v>
      </c>
      <c r="EO321" s="498"/>
      <c r="EP321" s="498">
        <f>IF(ER321&lt;&gt;0,EC321*(ER321-1),0)</f>
        <v>0</v>
      </c>
      <c r="EQ321" s="498"/>
      <c r="ER321" s="385">
        <f t="shared" si="125"/>
        <v>0</v>
      </c>
      <c r="ES321" s="385"/>
      <c r="ET321" s="498">
        <f t="shared" si="122"/>
        <v>0</v>
      </c>
      <c r="EU321" s="498"/>
      <c r="EV321" s="398">
        <f>IF(ER344="",0,IF(ET321=0,0,IF(ER344&gt;FF315,FE314,IF(ER344&gt;FF316,FE315,FE316))))</f>
        <v>0</v>
      </c>
      <c r="EW321" s="398"/>
      <c r="EX321" s="398"/>
      <c r="EY321" s="398"/>
      <c r="EZ321" s="398"/>
      <c r="FA321" s="398"/>
      <c r="FB321" s="183">
        <f t="shared" si="123"/>
        <v>0</v>
      </c>
      <c r="FC321" s="244"/>
      <c r="FD321" s="245"/>
    </row>
    <row r="322" spans="1:160" ht="12" hidden="1">
      <c r="A322" s="156">
        <f t="shared" si="111"/>
        <v>1</v>
      </c>
      <c r="DD322" s="105" t="s">
        <v>278</v>
      </c>
      <c r="DE322" s="104"/>
      <c r="DF322" s="104"/>
      <c r="DG322" s="104"/>
      <c r="DH322" s="104"/>
      <c r="DI322" s="104"/>
      <c r="DJ322" s="104"/>
      <c r="DK322" s="104"/>
      <c r="DL322" s="104"/>
      <c r="DM322" s="104"/>
      <c r="DN322" s="104"/>
      <c r="DO322" s="104"/>
      <c r="DP322" s="104"/>
      <c r="DQ322" s="498" t="str">
        <f t="shared" si="112"/>
        <v>2505</v>
      </c>
      <c r="DR322" s="498"/>
      <c r="DS322" s="109">
        <v>2</v>
      </c>
      <c r="DT322" s="498">
        <v>2507</v>
      </c>
      <c r="DU322" s="498"/>
      <c r="DV322" s="106">
        <v>1</v>
      </c>
      <c r="DW322" s="106">
        <f t="shared" si="113"/>
        <v>2</v>
      </c>
      <c r="DX322" s="498">
        <v>2508</v>
      </c>
      <c r="DY322" s="498"/>
      <c r="DZ322" s="106">
        <f t="shared" si="114"/>
        <v>2</v>
      </c>
      <c r="EA322" s="107">
        <f t="shared" si="124"/>
        <v>1</v>
      </c>
      <c r="EB322" s="295"/>
      <c r="EC322" s="107">
        <f t="shared" si="115"/>
        <v>0</v>
      </c>
      <c r="ED322" s="498">
        <f t="shared" si="126"/>
        <v>0</v>
      </c>
      <c r="EE322" s="498"/>
      <c r="EF322" s="106">
        <f t="shared" si="116"/>
        <v>0</v>
      </c>
      <c r="EG322" s="498">
        <f t="shared" si="117"/>
        <v>0</v>
      </c>
      <c r="EH322" s="498"/>
      <c r="EI322" s="106">
        <f t="shared" si="118"/>
        <v>0</v>
      </c>
      <c r="EJ322" s="106">
        <f t="shared" si="119"/>
        <v>0</v>
      </c>
      <c r="EK322" s="498">
        <f t="shared" si="120"/>
        <v>0</v>
      </c>
      <c r="EL322" s="498"/>
      <c r="EM322" s="106">
        <f t="shared" si="121"/>
        <v>0</v>
      </c>
      <c r="EN322" s="498">
        <f>EC322*9999</f>
        <v>0</v>
      </c>
      <c r="EO322" s="498"/>
      <c r="EP322" s="498">
        <f>EC322*9999</f>
        <v>0</v>
      </c>
      <c r="EQ322" s="498"/>
      <c r="ER322" s="385">
        <f t="shared" si="125"/>
        <v>0</v>
      </c>
      <c r="ES322" s="385"/>
      <c r="ET322" s="498">
        <f t="shared" si="122"/>
        <v>0</v>
      </c>
      <c r="EU322" s="498"/>
      <c r="EV322" s="398">
        <f>IF(ER344="",0,IF(ET322=0,0,IF(ER344&gt;FF315,FE314,IF(ER344&gt;FF316,FE315,FE316))))</f>
        <v>0</v>
      </c>
      <c r="EW322" s="398"/>
      <c r="EX322" s="398"/>
      <c r="EY322" s="398"/>
      <c r="EZ322" s="398"/>
      <c r="FA322" s="398"/>
      <c r="FB322" s="183">
        <f t="shared" si="123"/>
        <v>0</v>
      </c>
      <c r="FC322" s="244"/>
      <c r="FD322" s="245"/>
    </row>
    <row r="323" spans="1:160" ht="12" hidden="1">
      <c r="A323" s="156">
        <f t="shared" si="111"/>
        <v>1</v>
      </c>
      <c r="DD323" s="105" t="s">
        <v>279</v>
      </c>
      <c r="DE323" s="105"/>
      <c r="DF323" s="105"/>
      <c r="DG323" s="105"/>
      <c r="DH323" s="105"/>
      <c r="DI323" s="105"/>
      <c r="DJ323" s="105"/>
      <c r="DK323" s="105"/>
      <c r="DL323" s="105"/>
      <c r="DM323" s="105"/>
      <c r="DN323" s="105"/>
      <c r="DO323" s="105"/>
      <c r="DP323" s="105"/>
      <c r="DQ323" s="498" t="str">
        <f t="shared" si="112"/>
        <v>2506</v>
      </c>
      <c r="DR323" s="498"/>
      <c r="DS323" s="109">
        <v>2</v>
      </c>
      <c r="DT323" s="498">
        <v>2507</v>
      </c>
      <c r="DU323" s="498"/>
      <c r="DV323" s="106">
        <v>1</v>
      </c>
      <c r="DW323" s="106">
        <f t="shared" si="113"/>
        <v>2</v>
      </c>
      <c r="DX323" s="498">
        <v>2508</v>
      </c>
      <c r="DY323" s="498"/>
      <c r="DZ323" s="106">
        <f t="shared" si="114"/>
        <v>2</v>
      </c>
      <c r="EA323" s="107">
        <f t="shared" si="124"/>
        <v>1</v>
      </c>
      <c r="EB323" s="296"/>
      <c r="EC323" s="107">
        <f t="shared" si="115"/>
        <v>0</v>
      </c>
      <c r="ED323" s="498">
        <f t="shared" si="126"/>
        <v>0</v>
      </c>
      <c r="EE323" s="498"/>
      <c r="EF323" s="106">
        <f t="shared" si="116"/>
        <v>0</v>
      </c>
      <c r="EG323" s="498">
        <f t="shared" si="117"/>
        <v>0</v>
      </c>
      <c r="EH323" s="498"/>
      <c r="EI323" s="106">
        <f t="shared" si="118"/>
        <v>0</v>
      </c>
      <c r="EJ323" s="106">
        <f t="shared" si="119"/>
        <v>0</v>
      </c>
      <c r="EK323" s="498">
        <f t="shared" si="120"/>
        <v>0</v>
      </c>
      <c r="EL323" s="498"/>
      <c r="EM323" s="106">
        <f t="shared" si="121"/>
        <v>0</v>
      </c>
      <c r="EN323" s="498">
        <v>0</v>
      </c>
      <c r="EO323" s="498"/>
      <c r="EP323" s="498">
        <f>EC323*9999</f>
        <v>0</v>
      </c>
      <c r="EQ323" s="498"/>
      <c r="ER323" s="385">
        <f t="shared" si="125"/>
        <v>0</v>
      </c>
      <c r="ES323" s="385"/>
      <c r="ET323" s="498">
        <f t="shared" si="122"/>
        <v>0</v>
      </c>
      <c r="EU323" s="498"/>
      <c r="EV323" s="398">
        <f>IF(ER344="",0,IF(ET323=0,0,IF(ER344&gt;FF315,FE314,IF(ER344&gt;FF316,FE315,FE316))))</f>
        <v>0</v>
      </c>
      <c r="EW323" s="398"/>
      <c r="EX323" s="398"/>
      <c r="EY323" s="398"/>
      <c r="EZ323" s="398"/>
      <c r="FA323" s="398"/>
      <c r="FB323" s="183">
        <f t="shared" si="123"/>
        <v>0</v>
      </c>
      <c r="FC323" s="244"/>
      <c r="FD323" s="245"/>
    </row>
    <row r="324" spans="1:160" ht="12" hidden="1">
      <c r="A324" s="156">
        <f t="shared" si="111"/>
        <v>1</v>
      </c>
      <c r="DD324" s="105" t="s">
        <v>14</v>
      </c>
      <c r="DE324" s="105"/>
      <c r="DF324" s="105"/>
      <c r="DG324" s="105"/>
      <c r="DH324" s="105"/>
      <c r="DI324" s="105"/>
      <c r="DJ324" s="105"/>
      <c r="DK324" s="105"/>
      <c r="DL324" s="105"/>
      <c r="DM324" s="105"/>
      <c r="DN324" s="105"/>
      <c r="DO324" s="105"/>
      <c r="DP324" s="105"/>
      <c r="DQ324" s="106"/>
      <c r="DR324" s="106"/>
      <c r="DS324" s="109"/>
      <c r="DT324" s="106"/>
      <c r="DU324" s="106"/>
      <c r="DV324" s="106"/>
      <c r="DW324" s="106"/>
      <c r="DX324" s="106"/>
      <c r="DY324" s="106"/>
      <c r="DZ324" s="106"/>
      <c r="EA324" s="106"/>
      <c r="EB324" s="296"/>
      <c r="EC324" s="107"/>
      <c r="ED324" s="106"/>
      <c r="EE324" s="106"/>
      <c r="EF324" s="106"/>
      <c r="EG324" s="106"/>
      <c r="EH324" s="106"/>
      <c r="EI324" s="106"/>
      <c r="EJ324" s="106"/>
      <c r="EK324" s="106"/>
      <c r="EL324" s="106"/>
      <c r="EM324" s="106"/>
      <c r="EN324" s="106"/>
      <c r="EO324" s="106"/>
      <c r="EP324" s="106"/>
      <c r="EQ324" s="106"/>
      <c r="ER324" s="385"/>
      <c r="ES324" s="385"/>
      <c r="ET324" s="106"/>
      <c r="EU324" s="106"/>
      <c r="EV324" s="188"/>
      <c r="EW324" s="188"/>
      <c r="EX324" s="188"/>
      <c r="EY324" s="188"/>
      <c r="EZ324" s="188"/>
      <c r="FA324" s="188"/>
      <c r="FB324" s="188"/>
      <c r="FC324" s="244"/>
      <c r="FD324" s="245"/>
    </row>
    <row r="325" spans="1:160" ht="12" hidden="1">
      <c r="A325" s="156">
        <f t="shared" si="111"/>
        <v>1</v>
      </c>
      <c r="DD325" s="105" t="s">
        <v>14</v>
      </c>
      <c r="DE325" s="105"/>
      <c r="DF325" s="105"/>
      <c r="DG325" s="105"/>
      <c r="DH325" s="105"/>
      <c r="DI325" s="105"/>
      <c r="DJ325" s="105"/>
      <c r="DK325" s="105"/>
      <c r="DL325" s="105"/>
      <c r="DM325" s="105"/>
      <c r="DN325" s="105"/>
      <c r="DO325" s="105"/>
      <c r="DP325" s="105"/>
      <c r="DQ325" s="106"/>
      <c r="DR325" s="106"/>
      <c r="DS325" s="109"/>
      <c r="DT325" s="106"/>
      <c r="DU325" s="106"/>
      <c r="DV325" s="106"/>
      <c r="DW325" s="106"/>
      <c r="DX325" s="106"/>
      <c r="DY325" s="106"/>
      <c r="DZ325" s="106"/>
      <c r="EA325" s="106"/>
      <c r="EB325" s="296"/>
      <c r="EC325" s="107"/>
      <c r="ED325" s="106"/>
      <c r="EE325" s="106"/>
      <c r="EF325" s="106"/>
      <c r="EG325" s="106"/>
      <c r="EH325" s="106"/>
      <c r="EI325" s="106"/>
      <c r="EJ325" s="106"/>
      <c r="EK325" s="106"/>
      <c r="EL325" s="106"/>
      <c r="EM325" s="106"/>
      <c r="EN325" s="106"/>
      <c r="EO325" s="106"/>
      <c r="EP325" s="106"/>
      <c r="EQ325" s="106"/>
      <c r="ER325" s="385"/>
      <c r="ES325" s="385"/>
      <c r="ET325" s="106"/>
      <c r="EU325" s="106"/>
      <c r="EV325" s="188"/>
      <c r="EW325" s="188"/>
      <c r="EX325" s="188"/>
      <c r="EY325" s="188"/>
      <c r="EZ325" s="188"/>
      <c r="FA325" s="188"/>
      <c r="FB325" s="188"/>
      <c r="FC325" s="244"/>
      <c r="FD325" s="245"/>
    </row>
    <row r="326" spans="1:160" ht="12" hidden="1">
      <c r="A326" s="156">
        <f t="shared" si="111"/>
        <v>1</v>
      </c>
      <c r="DD326" s="105" t="s">
        <v>14</v>
      </c>
      <c r="DE326" s="105"/>
      <c r="DF326" s="105"/>
      <c r="DG326" s="105"/>
      <c r="DH326" s="105"/>
      <c r="DI326" s="105"/>
      <c r="DJ326" s="105"/>
      <c r="DK326" s="105"/>
      <c r="DL326" s="105"/>
      <c r="DM326" s="105"/>
      <c r="DN326" s="105"/>
      <c r="DO326" s="105"/>
      <c r="DP326" s="105"/>
      <c r="DQ326" s="106"/>
      <c r="DR326" s="106"/>
      <c r="DS326" s="109"/>
      <c r="DT326" s="106"/>
      <c r="DU326" s="106"/>
      <c r="DV326" s="106"/>
      <c r="DW326" s="106"/>
      <c r="DX326" s="106"/>
      <c r="DY326" s="106"/>
      <c r="DZ326" s="106"/>
      <c r="EA326" s="106"/>
      <c r="EB326" s="296"/>
      <c r="EC326" s="107"/>
      <c r="ED326" s="106"/>
      <c r="EE326" s="106"/>
      <c r="EF326" s="106"/>
      <c r="EG326" s="106"/>
      <c r="EH326" s="106"/>
      <c r="EI326" s="106"/>
      <c r="EJ326" s="106"/>
      <c r="EK326" s="106"/>
      <c r="EL326" s="106"/>
      <c r="EM326" s="106"/>
      <c r="EN326" s="106"/>
      <c r="EO326" s="106"/>
      <c r="EP326" s="106"/>
      <c r="EQ326" s="106"/>
      <c r="ER326" s="385"/>
      <c r="ES326" s="385"/>
      <c r="ET326" s="106"/>
      <c r="EU326" s="106"/>
      <c r="EV326" s="188"/>
      <c r="EW326" s="188"/>
      <c r="EX326" s="188"/>
      <c r="EY326" s="188"/>
      <c r="EZ326" s="188"/>
      <c r="FA326" s="188"/>
      <c r="FB326" s="188"/>
      <c r="FC326" s="244"/>
      <c r="FD326" s="245"/>
    </row>
    <row r="327" spans="1:160" ht="12" hidden="1">
      <c r="A327" s="156">
        <f t="shared" si="111"/>
        <v>1</v>
      </c>
      <c r="DD327" s="105" t="s">
        <v>14</v>
      </c>
      <c r="DE327" s="105"/>
      <c r="DF327" s="105"/>
      <c r="DG327" s="105"/>
      <c r="DH327" s="105"/>
      <c r="DI327" s="105"/>
      <c r="DJ327" s="105"/>
      <c r="DK327" s="105"/>
      <c r="DL327" s="105"/>
      <c r="DM327" s="105"/>
      <c r="DN327" s="105"/>
      <c r="DO327" s="105"/>
      <c r="DP327" s="105"/>
      <c r="DQ327" s="106"/>
      <c r="DR327" s="106"/>
      <c r="DS327" s="109"/>
      <c r="DT327" s="106"/>
      <c r="DU327" s="106"/>
      <c r="DV327" s="106"/>
      <c r="DW327" s="106"/>
      <c r="DX327" s="106"/>
      <c r="DY327" s="106"/>
      <c r="DZ327" s="106"/>
      <c r="EA327" s="106"/>
      <c r="EB327" s="296"/>
      <c r="EC327" s="107"/>
      <c r="ED327" s="106"/>
      <c r="EE327" s="106"/>
      <c r="EF327" s="106"/>
      <c r="EG327" s="106"/>
      <c r="EH327" s="106"/>
      <c r="EI327" s="106"/>
      <c r="EJ327" s="106"/>
      <c r="EK327" s="106"/>
      <c r="EL327" s="106"/>
      <c r="EM327" s="106"/>
      <c r="EN327" s="106"/>
      <c r="EO327" s="106"/>
      <c r="EP327" s="106"/>
      <c r="EQ327" s="106"/>
      <c r="ER327" s="385"/>
      <c r="ES327" s="385"/>
      <c r="ET327" s="106"/>
      <c r="EU327" s="106"/>
      <c r="EV327" s="188"/>
      <c r="EW327" s="188"/>
      <c r="EX327" s="188"/>
      <c r="EY327" s="188"/>
      <c r="EZ327" s="188"/>
      <c r="FA327" s="188"/>
      <c r="FB327" s="188"/>
      <c r="FC327" s="244"/>
      <c r="FD327" s="245"/>
    </row>
    <row r="328" spans="1:160" ht="12" hidden="1">
      <c r="A328" s="156">
        <f t="shared" si="111"/>
        <v>1</v>
      </c>
      <c r="DD328" s="105" t="s">
        <v>14</v>
      </c>
      <c r="DE328" s="105"/>
      <c r="DF328" s="105"/>
      <c r="DG328" s="105"/>
      <c r="DH328" s="105"/>
      <c r="DI328" s="105"/>
      <c r="DJ328" s="105"/>
      <c r="DK328" s="105"/>
      <c r="DL328" s="105"/>
      <c r="DM328" s="105"/>
      <c r="DN328" s="105"/>
      <c r="DO328" s="105"/>
      <c r="DP328" s="105"/>
      <c r="DQ328" s="106"/>
      <c r="DR328" s="106"/>
      <c r="DS328" s="109"/>
      <c r="DT328" s="106"/>
      <c r="DU328" s="106"/>
      <c r="DV328" s="106"/>
      <c r="DW328" s="106"/>
      <c r="DX328" s="106"/>
      <c r="DY328" s="106"/>
      <c r="DZ328" s="106"/>
      <c r="EA328" s="106"/>
      <c r="EB328" s="296"/>
      <c r="EC328" s="107"/>
      <c r="ED328" s="106"/>
      <c r="EE328" s="106"/>
      <c r="EF328" s="106"/>
      <c r="EG328" s="106"/>
      <c r="EH328" s="106"/>
      <c r="EI328" s="106"/>
      <c r="EJ328" s="106"/>
      <c r="EK328" s="106"/>
      <c r="EL328" s="106"/>
      <c r="EM328" s="106"/>
      <c r="EN328" s="106"/>
      <c r="EO328" s="106"/>
      <c r="EP328" s="106"/>
      <c r="EQ328" s="106"/>
      <c r="ER328" s="385"/>
      <c r="ES328" s="385"/>
      <c r="ET328" s="106"/>
      <c r="EU328" s="106"/>
      <c r="EV328" s="188"/>
      <c r="EW328" s="188"/>
      <c r="EX328" s="188"/>
      <c r="EY328" s="188"/>
      <c r="EZ328" s="188"/>
      <c r="FA328" s="188"/>
      <c r="FB328" s="188"/>
      <c r="FC328" s="244"/>
      <c r="FD328" s="245"/>
    </row>
    <row r="329" spans="1:160" ht="12" hidden="1">
      <c r="A329" s="156">
        <f t="shared" si="111"/>
        <v>1</v>
      </c>
      <c r="DD329" s="105" t="s">
        <v>14</v>
      </c>
      <c r="DE329" s="105"/>
      <c r="DF329" s="105"/>
      <c r="DG329" s="105"/>
      <c r="DH329" s="105"/>
      <c r="DI329" s="105"/>
      <c r="DJ329" s="105"/>
      <c r="DK329" s="105"/>
      <c r="DL329" s="105"/>
      <c r="DM329" s="105"/>
      <c r="DN329" s="105"/>
      <c r="DO329" s="105"/>
      <c r="DP329" s="105"/>
      <c r="DQ329" s="106"/>
      <c r="DR329" s="106"/>
      <c r="DS329" s="109"/>
      <c r="DT329" s="106"/>
      <c r="DU329" s="106"/>
      <c r="DV329" s="106"/>
      <c r="DW329" s="106"/>
      <c r="DX329" s="106"/>
      <c r="DY329" s="106"/>
      <c r="DZ329" s="106"/>
      <c r="EA329" s="106"/>
      <c r="EB329" s="296"/>
      <c r="EC329" s="107"/>
      <c r="ED329" s="106"/>
      <c r="EE329" s="106"/>
      <c r="EF329" s="106"/>
      <c r="EG329" s="106"/>
      <c r="EH329" s="106"/>
      <c r="EI329" s="106"/>
      <c r="EJ329" s="106"/>
      <c r="EK329" s="106"/>
      <c r="EL329" s="106"/>
      <c r="EM329" s="106"/>
      <c r="EN329" s="106"/>
      <c r="EO329" s="106"/>
      <c r="EP329" s="106"/>
      <c r="EQ329" s="106"/>
      <c r="ER329" s="385"/>
      <c r="ES329" s="385"/>
      <c r="ET329" s="106"/>
      <c r="EU329" s="106"/>
      <c r="EV329" s="188"/>
      <c r="EW329" s="188"/>
      <c r="EX329" s="188"/>
      <c r="EY329" s="188"/>
      <c r="EZ329" s="188"/>
      <c r="FA329" s="188"/>
      <c r="FB329" s="188"/>
      <c r="FC329" s="244"/>
      <c r="FD329" s="245"/>
    </row>
    <row r="330" spans="1:160" ht="12" hidden="1">
      <c r="A330" s="156">
        <f t="shared" si="111"/>
        <v>1</v>
      </c>
      <c r="DD330" s="105" t="s">
        <v>14</v>
      </c>
      <c r="DE330" s="105"/>
      <c r="DF330" s="105"/>
      <c r="DG330" s="105"/>
      <c r="DH330" s="105"/>
      <c r="DI330" s="105"/>
      <c r="DJ330" s="105"/>
      <c r="DK330" s="105"/>
      <c r="DL330" s="105"/>
      <c r="DM330" s="105"/>
      <c r="DN330" s="105"/>
      <c r="DO330" s="105"/>
      <c r="DP330" s="105"/>
      <c r="DQ330" s="106"/>
      <c r="DR330" s="106"/>
      <c r="DS330" s="109"/>
      <c r="DT330" s="106"/>
      <c r="DU330" s="106"/>
      <c r="DV330" s="106"/>
      <c r="DW330" s="106"/>
      <c r="DX330" s="106"/>
      <c r="DY330" s="106"/>
      <c r="DZ330" s="106"/>
      <c r="EA330" s="106"/>
      <c r="EB330" s="296"/>
      <c r="EC330" s="107"/>
      <c r="ED330" s="106"/>
      <c r="EE330" s="106"/>
      <c r="EF330" s="106"/>
      <c r="EG330" s="106"/>
      <c r="EH330" s="106"/>
      <c r="EI330" s="106"/>
      <c r="EJ330" s="106"/>
      <c r="EK330" s="106"/>
      <c r="EL330" s="106"/>
      <c r="EM330" s="106"/>
      <c r="EN330" s="106"/>
      <c r="EO330" s="106"/>
      <c r="EP330" s="106"/>
      <c r="EQ330" s="106"/>
      <c r="ER330" s="385"/>
      <c r="ES330" s="385"/>
      <c r="ET330" s="106"/>
      <c r="EU330" s="106"/>
      <c r="EV330" s="188"/>
      <c r="EW330" s="188"/>
      <c r="EX330" s="188"/>
      <c r="EY330" s="188"/>
      <c r="EZ330" s="188"/>
      <c r="FA330" s="188"/>
      <c r="FB330" s="188"/>
      <c r="FC330" s="244"/>
      <c r="FD330" s="245"/>
    </row>
    <row r="331" spans="1:160" ht="12" hidden="1">
      <c r="A331" s="156">
        <f t="shared" si="111"/>
        <v>1</v>
      </c>
      <c r="DD331" s="105" t="s">
        <v>14</v>
      </c>
      <c r="DE331" s="105"/>
      <c r="DF331" s="105"/>
      <c r="DG331" s="105"/>
      <c r="DH331" s="105"/>
      <c r="DI331" s="105"/>
      <c r="DJ331" s="105"/>
      <c r="DK331" s="105"/>
      <c r="DL331" s="105"/>
      <c r="DM331" s="105"/>
      <c r="DN331" s="105"/>
      <c r="DO331" s="105"/>
      <c r="DP331" s="105"/>
      <c r="DQ331" s="106"/>
      <c r="DR331" s="106"/>
      <c r="DS331" s="109"/>
      <c r="DT331" s="106"/>
      <c r="DU331" s="106"/>
      <c r="DV331" s="106"/>
      <c r="DW331" s="106"/>
      <c r="DX331" s="106"/>
      <c r="DY331" s="106"/>
      <c r="DZ331" s="106"/>
      <c r="EA331" s="106"/>
      <c r="EB331" s="296"/>
      <c r="EC331" s="107"/>
      <c r="ED331" s="106"/>
      <c r="EE331" s="106"/>
      <c r="EF331" s="106"/>
      <c r="EG331" s="106"/>
      <c r="EH331" s="106"/>
      <c r="EI331" s="106"/>
      <c r="EJ331" s="106"/>
      <c r="EK331" s="106"/>
      <c r="EL331" s="106"/>
      <c r="EM331" s="106"/>
      <c r="EN331" s="106"/>
      <c r="EO331" s="106"/>
      <c r="EP331" s="106"/>
      <c r="EQ331" s="106"/>
      <c r="ER331" s="385"/>
      <c r="ES331" s="385"/>
      <c r="ET331" s="106"/>
      <c r="EU331" s="106"/>
      <c r="EV331" s="188"/>
      <c r="EW331" s="188"/>
      <c r="EX331" s="188"/>
      <c r="EY331" s="188"/>
      <c r="EZ331" s="188"/>
      <c r="FA331" s="188"/>
      <c r="FB331" s="188"/>
      <c r="FC331" s="244"/>
      <c r="FD331" s="245"/>
    </row>
    <row r="332" spans="1:160" ht="12" hidden="1">
      <c r="A332" s="156">
        <f t="shared" si="111"/>
        <v>1</v>
      </c>
      <c r="DD332" s="105" t="s">
        <v>14</v>
      </c>
      <c r="DE332" s="105"/>
      <c r="DF332" s="105"/>
      <c r="DG332" s="105"/>
      <c r="DH332" s="105"/>
      <c r="DI332" s="105"/>
      <c r="DJ332" s="105"/>
      <c r="DK332" s="105"/>
      <c r="DL332" s="105"/>
      <c r="DM332" s="105"/>
      <c r="DN332" s="105"/>
      <c r="DO332" s="105"/>
      <c r="DP332" s="105"/>
      <c r="DQ332" s="106"/>
      <c r="DR332" s="106"/>
      <c r="DS332" s="109"/>
      <c r="DT332" s="106"/>
      <c r="DU332" s="106"/>
      <c r="DV332" s="106"/>
      <c r="DW332" s="106"/>
      <c r="DX332" s="106"/>
      <c r="DY332" s="106"/>
      <c r="DZ332" s="106"/>
      <c r="EA332" s="106"/>
      <c r="EB332" s="296"/>
      <c r="EC332" s="107"/>
      <c r="ED332" s="106"/>
      <c r="EE332" s="106"/>
      <c r="EF332" s="106"/>
      <c r="EG332" s="106"/>
      <c r="EH332" s="106"/>
      <c r="EI332" s="106"/>
      <c r="EJ332" s="106"/>
      <c r="EK332" s="106"/>
      <c r="EL332" s="106"/>
      <c r="EM332" s="106"/>
      <c r="EN332" s="106"/>
      <c r="EO332" s="106"/>
      <c r="EP332" s="106"/>
      <c r="EQ332" s="106"/>
      <c r="ER332" s="385"/>
      <c r="ES332" s="385"/>
      <c r="ET332" s="106"/>
      <c r="EU332" s="106"/>
      <c r="EV332" s="188"/>
      <c r="EW332" s="188"/>
      <c r="EX332" s="188"/>
      <c r="EY332" s="188"/>
      <c r="EZ332" s="188"/>
      <c r="FA332" s="188"/>
      <c r="FB332" s="188"/>
      <c r="FC332" s="244"/>
      <c r="FD332" s="245"/>
    </row>
    <row r="333" spans="1:160" ht="12" hidden="1">
      <c r="A333" s="156">
        <f t="shared" si="111"/>
        <v>1</v>
      </c>
      <c r="DD333" s="105" t="s">
        <v>14</v>
      </c>
      <c r="DE333" s="105"/>
      <c r="DF333" s="105"/>
      <c r="DG333" s="105"/>
      <c r="DH333" s="105"/>
      <c r="DI333" s="105"/>
      <c r="DJ333" s="105"/>
      <c r="DK333" s="105"/>
      <c r="DL333" s="105"/>
      <c r="DM333" s="105"/>
      <c r="DN333" s="105"/>
      <c r="DO333" s="105"/>
      <c r="DP333" s="105"/>
      <c r="DQ333" s="106"/>
      <c r="DR333" s="106"/>
      <c r="DS333" s="109"/>
      <c r="DT333" s="106"/>
      <c r="DU333" s="106"/>
      <c r="DV333" s="106"/>
      <c r="DW333" s="106"/>
      <c r="DX333" s="106"/>
      <c r="DY333" s="106"/>
      <c r="DZ333" s="106"/>
      <c r="EA333" s="106"/>
      <c r="EB333" s="296"/>
      <c r="EC333" s="107"/>
      <c r="ED333" s="106"/>
      <c r="EE333" s="106"/>
      <c r="EF333" s="106"/>
      <c r="EG333" s="106"/>
      <c r="EH333" s="106"/>
      <c r="EI333" s="106"/>
      <c r="EJ333" s="106"/>
      <c r="EK333" s="106"/>
      <c r="EL333" s="106"/>
      <c r="EM333" s="106"/>
      <c r="EN333" s="106"/>
      <c r="EO333" s="106"/>
      <c r="EP333" s="106"/>
      <c r="EQ333" s="106"/>
      <c r="ER333" s="385"/>
      <c r="ES333" s="385"/>
      <c r="ET333" s="106"/>
      <c r="EU333" s="106"/>
      <c r="EV333" s="188"/>
      <c r="EW333" s="188"/>
      <c r="EX333" s="188"/>
      <c r="EY333" s="188"/>
      <c r="EZ333" s="188"/>
      <c r="FA333" s="188"/>
      <c r="FB333" s="188"/>
      <c r="FC333" s="244"/>
      <c r="FD333" s="245"/>
    </row>
    <row r="334" spans="1:160" ht="12" hidden="1">
      <c r="A334" s="156">
        <f t="shared" si="111"/>
        <v>1</v>
      </c>
      <c r="DD334" s="105" t="s">
        <v>14</v>
      </c>
      <c r="DE334" s="105"/>
      <c r="DF334" s="105"/>
      <c r="DG334" s="105"/>
      <c r="DH334" s="105"/>
      <c r="DI334" s="105"/>
      <c r="DJ334" s="105"/>
      <c r="DK334" s="105"/>
      <c r="DL334" s="105"/>
      <c r="DM334" s="105"/>
      <c r="DN334" s="105"/>
      <c r="DO334" s="105"/>
      <c r="DP334" s="105"/>
      <c r="DQ334" s="498"/>
      <c r="DR334" s="498"/>
      <c r="DS334" s="109"/>
      <c r="DT334" s="498"/>
      <c r="DU334" s="498"/>
      <c r="DV334" s="106"/>
      <c r="DW334" s="108"/>
      <c r="DX334" s="498"/>
      <c r="DY334" s="498"/>
      <c r="DZ334" s="108"/>
      <c r="EA334" s="108"/>
      <c r="EB334" s="296"/>
      <c r="EC334" s="107"/>
      <c r="ED334" s="498"/>
      <c r="EE334" s="498"/>
      <c r="EF334" s="106"/>
      <c r="EG334" s="498"/>
      <c r="EH334" s="498"/>
      <c r="EI334" s="106"/>
      <c r="EJ334" s="106"/>
      <c r="EK334" s="498"/>
      <c r="EL334" s="498"/>
      <c r="EM334" s="106"/>
      <c r="EN334" s="498"/>
      <c r="EO334" s="498"/>
      <c r="EP334" s="498"/>
      <c r="EQ334" s="498"/>
      <c r="ER334" s="385"/>
      <c r="ES334" s="385"/>
      <c r="ET334" s="498"/>
      <c r="EU334" s="498"/>
      <c r="EV334" s="188"/>
      <c r="EW334" s="188"/>
      <c r="EX334" s="188"/>
      <c r="EY334" s="188"/>
      <c r="EZ334" s="188"/>
      <c r="FA334" s="188"/>
      <c r="FB334" s="188"/>
      <c r="FC334" s="244"/>
      <c r="FD334" s="245"/>
    </row>
    <row r="335" spans="1:160" ht="12" hidden="1">
      <c r="A335" s="156">
        <f t="shared" si="111"/>
        <v>1</v>
      </c>
      <c r="DD335" s="105" t="s">
        <v>14</v>
      </c>
      <c r="DE335" s="105"/>
      <c r="DF335" s="105"/>
      <c r="DG335" s="105"/>
      <c r="DH335" s="105"/>
      <c r="DI335" s="105"/>
      <c r="DJ335" s="105"/>
      <c r="DK335" s="105"/>
      <c r="DL335" s="105"/>
      <c r="DM335" s="105"/>
      <c r="DN335" s="105"/>
      <c r="DO335" s="105"/>
      <c r="DP335" s="105"/>
      <c r="DQ335" s="498"/>
      <c r="DR335" s="498"/>
      <c r="DS335" s="109"/>
      <c r="DT335" s="498"/>
      <c r="DU335" s="498"/>
      <c r="DV335" s="106"/>
      <c r="DW335" s="108"/>
      <c r="DX335" s="498"/>
      <c r="DY335" s="498"/>
      <c r="DZ335" s="108"/>
      <c r="EA335" s="108"/>
      <c r="EB335" s="296"/>
      <c r="EC335" s="107"/>
      <c r="ED335" s="498"/>
      <c r="EE335" s="498"/>
      <c r="EF335" s="106"/>
      <c r="EG335" s="498"/>
      <c r="EH335" s="498"/>
      <c r="EI335" s="106"/>
      <c r="EJ335" s="106"/>
      <c r="EK335" s="498"/>
      <c r="EL335" s="498"/>
      <c r="EM335" s="106"/>
      <c r="EN335" s="498"/>
      <c r="EO335" s="498"/>
      <c r="EP335" s="498"/>
      <c r="EQ335" s="498"/>
      <c r="ER335" s="385"/>
      <c r="ES335" s="385"/>
      <c r="ET335" s="498"/>
      <c r="EU335" s="498"/>
      <c r="EV335" s="188"/>
      <c r="EW335" s="188"/>
      <c r="EX335" s="188"/>
      <c r="EY335" s="188"/>
      <c r="EZ335" s="188"/>
      <c r="FA335" s="188"/>
      <c r="FB335" s="188"/>
      <c r="FC335" s="244"/>
      <c r="FD335" s="245"/>
    </row>
    <row r="336" spans="1:160" ht="12" hidden="1">
      <c r="A336" s="156">
        <f t="shared" si="111"/>
        <v>1</v>
      </c>
      <c r="DD336" s="105" t="s">
        <v>14</v>
      </c>
      <c r="DE336" s="105"/>
      <c r="DF336" s="105"/>
      <c r="DG336" s="105"/>
      <c r="DH336" s="105"/>
      <c r="DI336" s="105"/>
      <c r="DJ336" s="105"/>
      <c r="DK336" s="105"/>
      <c r="DL336" s="105"/>
      <c r="DM336" s="105"/>
      <c r="DN336" s="105"/>
      <c r="DO336" s="105"/>
      <c r="DP336" s="105"/>
      <c r="DQ336" s="498"/>
      <c r="DR336" s="498"/>
      <c r="DS336" s="109"/>
      <c r="DT336" s="498"/>
      <c r="DU336" s="498"/>
      <c r="DV336" s="106"/>
      <c r="DW336" s="108"/>
      <c r="DX336" s="498"/>
      <c r="DY336" s="498"/>
      <c r="DZ336" s="108"/>
      <c r="EA336" s="108"/>
      <c r="EB336" s="296"/>
      <c r="EC336" s="107"/>
      <c r="ED336" s="498"/>
      <c r="EE336" s="498"/>
      <c r="EF336" s="106"/>
      <c r="EG336" s="498"/>
      <c r="EH336" s="498"/>
      <c r="EI336" s="106"/>
      <c r="EJ336" s="106"/>
      <c r="EK336" s="498"/>
      <c r="EL336" s="498"/>
      <c r="EM336" s="106"/>
      <c r="EN336" s="498"/>
      <c r="EO336" s="498"/>
      <c r="EP336" s="498"/>
      <c r="EQ336" s="498"/>
      <c r="ER336" s="385"/>
      <c r="ES336" s="385"/>
      <c r="ET336" s="498"/>
      <c r="EU336" s="498"/>
      <c r="EV336" s="188"/>
      <c r="EW336" s="188"/>
      <c r="EX336" s="188"/>
      <c r="EY336" s="188"/>
      <c r="EZ336" s="188"/>
      <c r="FA336" s="188"/>
      <c r="FB336" s="188"/>
      <c r="FC336" s="244"/>
      <c r="FD336" s="245"/>
    </row>
    <row r="337" spans="1:160" ht="12" hidden="1">
      <c r="A337" s="156">
        <f t="shared" si="111"/>
        <v>1</v>
      </c>
      <c r="DD337" s="105" t="s">
        <v>14</v>
      </c>
      <c r="DE337" s="105"/>
      <c r="DF337" s="105"/>
      <c r="DG337" s="105"/>
      <c r="DH337" s="105"/>
      <c r="DI337" s="105"/>
      <c r="DJ337" s="105"/>
      <c r="DK337" s="105"/>
      <c r="DL337" s="105"/>
      <c r="DM337" s="105"/>
      <c r="DN337" s="105"/>
      <c r="DO337" s="105"/>
      <c r="DP337" s="105"/>
      <c r="DQ337" s="109"/>
      <c r="DR337" s="109"/>
      <c r="DS337" s="109"/>
      <c r="DT337" s="109"/>
      <c r="DU337" s="109"/>
      <c r="DV337" s="109"/>
      <c r="DW337" s="109"/>
      <c r="DX337" s="109"/>
      <c r="DY337" s="109"/>
      <c r="DZ337" s="109"/>
      <c r="EA337" s="109"/>
      <c r="EB337" s="296"/>
      <c r="EC337" s="109"/>
      <c r="ED337" s="498"/>
      <c r="EE337" s="498"/>
      <c r="EF337" s="106"/>
      <c r="EG337" s="498"/>
      <c r="EH337" s="498"/>
      <c r="EI337" s="106"/>
      <c r="EJ337" s="106"/>
      <c r="EK337" s="498"/>
      <c r="EL337" s="498"/>
      <c r="EM337" s="106"/>
      <c r="EN337" s="498"/>
      <c r="EO337" s="498"/>
      <c r="EP337" s="498"/>
      <c r="EQ337" s="498"/>
      <c r="ER337" s="385"/>
      <c r="ES337" s="385"/>
      <c r="ET337" s="498"/>
      <c r="EU337" s="498"/>
      <c r="EV337" s="188"/>
      <c r="EW337" s="188"/>
      <c r="EX337" s="188"/>
      <c r="EY337" s="188"/>
      <c r="EZ337" s="188"/>
      <c r="FA337" s="188"/>
      <c r="FB337" s="188"/>
      <c r="FC337" s="244"/>
      <c r="FD337" s="245"/>
    </row>
    <row r="338" spans="1:160" ht="12" hidden="1">
      <c r="A338" s="156">
        <f t="shared" si="111"/>
        <v>1</v>
      </c>
      <c r="DD338" s="105" t="s">
        <v>14</v>
      </c>
      <c r="DE338" s="105"/>
      <c r="DF338" s="105"/>
      <c r="DG338" s="105"/>
      <c r="DH338" s="105"/>
      <c r="DI338" s="105"/>
      <c r="DJ338" s="105"/>
      <c r="DK338" s="105"/>
      <c r="DL338" s="105"/>
      <c r="DM338" s="105"/>
      <c r="DN338" s="105"/>
      <c r="DO338" s="105"/>
      <c r="DP338" s="105"/>
      <c r="DQ338" s="109"/>
      <c r="DR338" s="109"/>
      <c r="DS338" s="109"/>
      <c r="DT338" s="109"/>
      <c r="DU338" s="109"/>
      <c r="DV338" s="109"/>
      <c r="DW338" s="109"/>
      <c r="DX338" s="109"/>
      <c r="DY338" s="109"/>
      <c r="DZ338" s="109"/>
      <c r="EA338" s="109"/>
      <c r="EB338" s="296"/>
      <c r="EC338" s="109"/>
      <c r="ED338" s="498"/>
      <c r="EE338" s="498"/>
      <c r="EF338" s="106"/>
      <c r="EG338" s="498"/>
      <c r="EH338" s="498"/>
      <c r="EI338" s="106"/>
      <c r="EJ338" s="106"/>
      <c r="EK338" s="498"/>
      <c r="EL338" s="498"/>
      <c r="EM338" s="106"/>
      <c r="EN338" s="498"/>
      <c r="EO338" s="498"/>
      <c r="EP338" s="498"/>
      <c r="EQ338" s="498"/>
      <c r="ER338" s="385"/>
      <c r="ES338" s="385"/>
      <c r="ET338" s="498"/>
      <c r="EU338" s="498"/>
      <c r="EV338" s="188"/>
      <c r="EW338" s="188"/>
      <c r="EX338" s="188"/>
      <c r="EY338" s="188"/>
      <c r="EZ338" s="188"/>
      <c r="FA338" s="188"/>
      <c r="FB338" s="188"/>
      <c r="FC338" s="244"/>
      <c r="FD338" s="245"/>
    </row>
    <row r="339" spans="1:160" ht="12" hidden="1">
      <c r="A339" s="156">
        <f t="shared" si="111"/>
        <v>1</v>
      </c>
      <c r="DD339" s="105" t="s">
        <v>14</v>
      </c>
      <c r="DE339" s="105"/>
      <c r="DF339" s="105"/>
      <c r="DG339" s="105"/>
      <c r="DH339" s="105"/>
      <c r="DI339" s="105"/>
      <c r="DJ339" s="105"/>
      <c r="DK339" s="105"/>
      <c r="DL339" s="105"/>
      <c r="DM339" s="105"/>
      <c r="DN339" s="105"/>
      <c r="DO339" s="105"/>
      <c r="DP339" s="105"/>
      <c r="DQ339" s="109"/>
      <c r="DR339" s="109"/>
      <c r="DS339" s="109"/>
      <c r="DT339" s="109"/>
      <c r="DU339" s="109"/>
      <c r="DV339" s="109"/>
      <c r="DW339" s="109"/>
      <c r="DX339" s="109"/>
      <c r="DY339" s="109"/>
      <c r="DZ339" s="109"/>
      <c r="EA339" s="109"/>
      <c r="EB339" s="296"/>
      <c r="EC339" s="109"/>
      <c r="ED339" s="498"/>
      <c r="EE339" s="498"/>
      <c r="EF339" s="106"/>
      <c r="EG339" s="498"/>
      <c r="EH339" s="498"/>
      <c r="EI339" s="106"/>
      <c r="EJ339" s="106"/>
      <c r="EK339" s="498"/>
      <c r="EL339" s="498"/>
      <c r="EM339" s="106"/>
      <c r="EN339" s="498"/>
      <c r="EO339" s="498"/>
      <c r="EP339" s="498"/>
      <c r="EQ339" s="498"/>
      <c r="ER339" s="385"/>
      <c r="ES339" s="385"/>
      <c r="ET339" s="498"/>
      <c r="EU339" s="498"/>
      <c r="EV339" s="188"/>
      <c r="EW339" s="188"/>
      <c r="EX339" s="188"/>
      <c r="EY339" s="188"/>
      <c r="EZ339" s="188"/>
      <c r="FA339" s="188"/>
      <c r="FB339" s="188"/>
      <c r="FC339" s="244"/>
      <c r="FD339" s="245"/>
    </row>
    <row r="340" spans="1:160" ht="12" hidden="1">
      <c r="A340" s="156">
        <f t="shared" si="111"/>
        <v>1</v>
      </c>
      <c r="DD340" s="105" t="s">
        <v>14</v>
      </c>
      <c r="DE340" s="105"/>
      <c r="DF340" s="105"/>
      <c r="DG340" s="105"/>
      <c r="DH340" s="105"/>
      <c r="DI340" s="105"/>
      <c r="DJ340" s="105"/>
      <c r="DK340" s="105"/>
      <c r="DL340" s="105"/>
      <c r="DM340" s="105"/>
      <c r="DN340" s="105"/>
      <c r="DO340" s="105"/>
      <c r="DP340" s="105"/>
      <c r="DQ340" s="109"/>
      <c r="DR340" s="109"/>
      <c r="DS340" s="109"/>
      <c r="DT340" s="109"/>
      <c r="DU340" s="109"/>
      <c r="DV340" s="109"/>
      <c r="DW340" s="109"/>
      <c r="DX340" s="109"/>
      <c r="DY340" s="109"/>
      <c r="DZ340" s="109"/>
      <c r="EA340" s="109"/>
      <c r="EB340" s="296"/>
      <c r="EC340" s="109"/>
      <c r="ED340" s="498"/>
      <c r="EE340" s="498"/>
      <c r="EF340" s="106"/>
      <c r="EG340" s="498"/>
      <c r="EH340" s="498"/>
      <c r="EI340" s="106"/>
      <c r="EJ340" s="106"/>
      <c r="EK340" s="498"/>
      <c r="EL340" s="498"/>
      <c r="EM340" s="106"/>
      <c r="EN340" s="498"/>
      <c r="EO340" s="498"/>
      <c r="EP340" s="498"/>
      <c r="EQ340" s="498"/>
      <c r="ER340" s="385"/>
      <c r="ES340" s="385"/>
      <c r="ET340" s="498"/>
      <c r="EU340" s="498"/>
      <c r="EV340" s="188"/>
      <c r="EW340" s="188"/>
      <c r="EX340" s="188"/>
      <c r="EY340" s="188"/>
      <c r="EZ340" s="188"/>
      <c r="FA340" s="188"/>
      <c r="FB340" s="188"/>
      <c r="FC340" s="244"/>
      <c r="FD340" s="245"/>
    </row>
    <row r="341" spans="1:160" ht="12" hidden="1">
      <c r="A341" s="156">
        <f t="shared" si="111"/>
        <v>1</v>
      </c>
      <c r="DD341" s="105" t="s">
        <v>14</v>
      </c>
      <c r="DE341" s="105"/>
      <c r="DF341" s="105"/>
      <c r="DG341" s="105"/>
      <c r="DH341" s="105"/>
      <c r="DI341" s="105"/>
      <c r="DJ341" s="105"/>
      <c r="DK341" s="105"/>
      <c r="DL341" s="105"/>
      <c r="DM341" s="105"/>
      <c r="DN341" s="105"/>
      <c r="DO341" s="105"/>
      <c r="DP341" s="105"/>
      <c r="DQ341" s="109"/>
      <c r="DR341" s="109"/>
      <c r="DS341" s="109"/>
      <c r="DT341" s="109"/>
      <c r="DU341" s="109"/>
      <c r="DV341" s="109"/>
      <c r="DW341" s="109"/>
      <c r="DX341" s="109"/>
      <c r="DY341" s="109"/>
      <c r="DZ341" s="109"/>
      <c r="EA341" s="109"/>
      <c r="EB341" s="296"/>
      <c r="EC341" s="109"/>
      <c r="ED341" s="498"/>
      <c r="EE341" s="498"/>
      <c r="EF341" s="106"/>
      <c r="EG341" s="498"/>
      <c r="EH341" s="498"/>
      <c r="EI341" s="106"/>
      <c r="EJ341" s="106"/>
      <c r="EK341" s="498"/>
      <c r="EL341" s="498"/>
      <c r="EM341" s="106"/>
      <c r="EN341" s="498"/>
      <c r="EO341" s="498"/>
      <c r="EP341" s="498"/>
      <c r="EQ341" s="498"/>
      <c r="ER341" s="385"/>
      <c r="ES341" s="385"/>
      <c r="ET341" s="498"/>
      <c r="EU341" s="498"/>
      <c r="EV341" s="188"/>
      <c r="EW341" s="188"/>
      <c r="EX341" s="188"/>
      <c r="EY341" s="188"/>
      <c r="EZ341" s="188"/>
      <c r="FA341" s="188"/>
      <c r="FB341" s="188"/>
      <c r="FC341" s="244"/>
      <c r="FD341" s="245"/>
    </row>
    <row r="342" spans="1:160" ht="12" hidden="1">
      <c r="A342" s="156">
        <f t="shared" si="111"/>
        <v>1</v>
      </c>
      <c r="DD342" s="105" t="s">
        <v>14</v>
      </c>
      <c r="DE342" s="105"/>
      <c r="DF342" s="105"/>
      <c r="DG342" s="105"/>
      <c r="DH342" s="105"/>
      <c r="DI342" s="105"/>
      <c r="DJ342" s="105"/>
      <c r="DK342" s="105"/>
      <c r="DL342" s="105"/>
      <c r="DM342" s="105"/>
      <c r="DN342" s="105"/>
      <c r="DO342" s="105"/>
      <c r="DP342" s="105"/>
      <c r="DQ342" s="109"/>
      <c r="DR342" s="109"/>
      <c r="DS342" s="109"/>
      <c r="DT342" s="109"/>
      <c r="DU342" s="109"/>
      <c r="DV342" s="109"/>
      <c r="DW342" s="109"/>
      <c r="DX342" s="109"/>
      <c r="DY342" s="109"/>
      <c r="DZ342" s="109"/>
      <c r="EA342" s="109"/>
      <c r="EB342" s="296"/>
      <c r="EC342" s="109"/>
      <c r="ED342" s="498"/>
      <c r="EE342" s="498"/>
      <c r="EF342" s="106"/>
      <c r="EG342" s="498"/>
      <c r="EH342" s="498"/>
      <c r="EI342" s="106"/>
      <c r="EJ342" s="106"/>
      <c r="EK342" s="498"/>
      <c r="EL342" s="498"/>
      <c r="EM342" s="106"/>
      <c r="EN342" s="498"/>
      <c r="EO342" s="498"/>
      <c r="EP342" s="498"/>
      <c r="EQ342" s="498"/>
      <c r="ER342" s="385"/>
      <c r="ES342" s="385"/>
      <c r="ET342" s="498"/>
      <c r="EU342" s="498"/>
      <c r="EV342" s="188"/>
      <c r="EW342" s="188"/>
      <c r="EX342" s="188"/>
      <c r="EY342" s="188"/>
      <c r="EZ342" s="188"/>
      <c r="FA342" s="188"/>
      <c r="FB342" s="188"/>
      <c r="FC342" s="244"/>
      <c r="FD342" s="245"/>
    </row>
    <row r="343" spans="1:160" ht="12" hidden="1">
      <c r="A343" s="156">
        <f t="shared" si="111"/>
        <v>1</v>
      </c>
      <c r="DD343" s="105" t="s">
        <v>14</v>
      </c>
      <c r="DE343" s="105"/>
      <c r="DF343" s="105"/>
      <c r="DG343" s="105"/>
      <c r="DH343" s="105"/>
      <c r="DI343" s="105"/>
      <c r="DJ343" s="105"/>
      <c r="DK343" s="105"/>
      <c r="DL343" s="105"/>
      <c r="DM343" s="105"/>
      <c r="DN343" s="105"/>
      <c r="DO343" s="105"/>
      <c r="DP343" s="105"/>
      <c r="DQ343" s="184"/>
      <c r="DR343" s="184"/>
      <c r="DS343" s="184"/>
      <c r="DT343" s="184"/>
      <c r="DU343" s="184"/>
      <c r="DV343" s="184"/>
      <c r="DW343" s="184"/>
      <c r="DX343" s="184"/>
      <c r="DY343" s="184"/>
      <c r="DZ343" s="184"/>
      <c r="EA343" s="184"/>
      <c r="EB343" s="297"/>
      <c r="EC343" s="184"/>
      <c r="ED343" s="500"/>
      <c r="EE343" s="500"/>
      <c r="EF343" s="185"/>
      <c r="EG343" s="500"/>
      <c r="EH343" s="500"/>
      <c r="EI343" s="185"/>
      <c r="EJ343" s="185"/>
      <c r="EK343" s="500"/>
      <c r="EL343" s="500"/>
      <c r="EM343" s="185"/>
      <c r="EN343" s="500"/>
      <c r="EO343" s="500"/>
      <c r="EP343" s="500"/>
      <c r="EQ343" s="500"/>
      <c r="ER343" s="390"/>
      <c r="ES343" s="390"/>
      <c r="ET343" s="500"/>
      <c r="EU343" s="500"/>
      <c r="EV343" s="189"/>
      <c r="EW343" s="189"/>
      <c r="EX343" s="189"/>
      <c r="EY343" s="189"/>
      <c r="EZ343" s="189"/>
      <c r="FA343" s="189"/>
      <c r="FB343" s="189"/>
      <c r="FC343" s="244"/>
      <c r="FD343" s="245"/>
    </row>
    <row r="344" spans="1:160" ht="12" hidden="1">
      <c r="A344" s="156">
        <f t="shared" si="111"/>
        <v>1</v>
      </c>
      <c r="DD344" s="109"/>
      <c r="DE344" s="109"/>
      <c r="DF344" s="109"/>
      <c r="DG344" s="109"/>
      <c r="DH344" s="109"/>
      <c r="DI344" s="109"/>
      <c r="DJ344" s="109"/>
      <c r="DK344" s="109"/>
      <c r="DL344" s="109"/>
      <c r="DM344" s="109"/>
      <c r="DN344" s="109"/>
      <c r="DO344" s="109"/>
      <c r="DP344" s="109"/>
      <c r="DQ344" s="109"/>
      <c r="DR344" s="109"/>
      <c r="DS344" s="109"/>
      <c r="DT344" s="109"/>
      <c r="DU344" s="109"/>
      <c r="DV344" s="109"/>
      <c r="DW344" s="109"/>
      <c r="DX344" s="109"/>
      <c r="DY344" s="109"/>
      <c r="DZ344" s="109"/>
      <c r="EA344" s="109"/>
      <c r="EB344" s="81"/>
      <c r="EC344" s="109"/>
      <c r="ED344" s="498"/>
      <c r="EE344" s="498"/>
      <c r="EF344" s="106"/>
      <c r="EG344" s="498"/>
      <c r="EH344" s="498"/>
      <c r="EI344" s="106"/>
      <c r="EJ344" s="106"/>
      <c r="EK344" s="498"/>
      <c r="EL344" s="498"/>
      <c r="EM344" s="106"/>
      <c r="EN344" s="498"/>
      <c r="EO344" s="498"/>
      <c r="EP344" s="498"/>
      <c r="EQ344" s="498"/>
      <c r="ER344" s="387">
        <f>ER310</f>
        <v>43858</v>
      </c>
      <c r="ES344" s="388"/>
      <c r="ET344" s="183"/>
      <c r="EU344" s="183"/>
      <c r="EV344" s="183"/>
      <c r="EW344" s="183"/>
      <c r="EX344" s="183"/>
      <c r="EY344" s="183"/>
      <c r="EZ344" s="183"/>
      <c r="FA344" s="183"/>
      <c r="FB344" s="183"/>
      <c r="FC344" s="244"/>
      <c r="FD344" s="245"/>
    </row>
    <row r="345" spans="1:160" ht="12" hidden="1">
      <c r="A345" s="156">
        <f t="shared" si="111"/>
        <v>1</v>
      </c>
      <c r="FC345" s="244"/>
      <c r="FD345" s="245"/>
    </row>
    <row r="346" spans="1:164" ht="12" hidden="1">
      <c r="A346" s="156">
        <f t="shared" si="111"/>
        <v>1</v>
      </c>
      <c r="DD346" s="131" t="str">
        <f>P115</f>
        <v>ALTRE II.II. CON F23</v>
      </c>
      <c r="DE346" s="132"/>
      <c r="DF346" s="132"/>
      <c r="DG346" s="132"/>
      <c r="DH346" s="132"/>
      <c r="DI346" s="132"/>
      <c r="DJ346" s="132"/>
      <c r="DK346" s="132"/>
      <c r="DL346" s="132"/>
      <c r="DM346" s="132"/>
      <c r="DN346" s="132"/>
      <c r="DO346" s="132"/>
      <c r="DP346" s="133"/>
      <c r="DQ346" s="397" t="s">
        <v>32</v>
      </c>
      <c r="DR346" s="397"/>
      <c r="DS346" s="52" t="s">
        <v>33</v>
      </c>
      <c r="DT346" s="397" t="s">
        <v>34</v>
      </c>
      <c r="DU346" s="397"/>
      <c r="DV346" s="52" t="s">
        <v>48</v>
      </c>
      <c r="DW346" s="52" t="s">
        <v>33</v>
      </c>
      <c r="DX346" s="397" t="s">
        <v>36</v>
      </c>
      <c r="DY346" s="397"/>
      <c r="DZ346" s="52" t="s">
        <v>33</v>
      </c>
      <c r="EA346" s="4" t="s">
        <v>49</v>
      </c>
      <c r="EB346" s="81"/>
      <c r="EC346" s="4" t="s">
        <v>49</v>
      </c>
      <c r="ED346" s="397" t="s">
        <v>32</v>
      </c>
      <c r="EE346" s="397"/>
      <c r="EF346" s="52" t="s">
        <v>33</v>
      </c>
      <c r="EG346" s="397" t="s">
        <v>34</v>
      </c>
      <c r="EH346" s="397"/>
      <c r="EI346" s="52" t="s">
        <v>35</v>
      </c>
      <c r="EJ346" s="52" t="s">
        <v>33</v>
      </c>
      <c r="EK346" s="397" t="s">
        <v>36</v>
      </c>
      <c r="EL346" s="397"/>
      <c r="EM346" s="52" t="s">
        <v>33</v>
      </c>
      <c r="ER346" s="397" t="s">
        <v>38</v>
      </c>
      <c r="ES346" s="397"/>
      <c r="ET346" s="397" t="s">
        <v>38</v>
      </c>
      <c r="EU346" s="397"/>
      <c r="EV346" s="395">
        <f>EX346-1</f>
        <v>2018</v>
      </c>
      <c r="EW346" s="395"/>
      <c r="EX346" s="395">
        <f>EZ346-1</f>
        <v>2019</v>
      </c>
      <c r="EY346" s="395"/>
      <c r="EZ346" s="395">
        <f>EZ312</f>
        <v>2020</v>
      </c>
      <c r="FA346" s="395"/>
      <c r="FB346" s="52" t="s">
        <v>39</v>
      </c>
      <c r="FC346" s="244"/>
      <c r="FD346" s="245"/>
      <c r="FE346" s="178">
        <f>FE312</f>
        <v>0</v>
      </c>
      <c r="FF346" s="178">
        <f>FF312</f>
        <v>1</v>
      </c>
      <c r="FG346" s="673">
        <f>FG312</f>
        <v>1900</v>
      </c>
      <c r="FH346" s="673"/>
    </row>
    <row r="347" spans="1:160" ht="12" hidden="1">
      <c r="A347" s="156">
        <f t="shared" si="111"/>
        <v>1</v>
      </c>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4"/>
      <c r="EC347" s="5"/>
      <c r="ED347" s="5"/>
      <c r="EE347" s="5"/>
      <c r="EF347" s="5"/>
      <c r="EG347" s="5"/>
      <c r="EH347" s="5"/>
      <c r="EI347" s="5"/>
      <c r="EJ347" s="5"/>
      <c r="EK347" s="5"/>
      <c r="EL347" s="5"/>
      <c r="EM347" s="5"/>
      <c r="ER347" s="5"/>
      <c r="ES347" s="5"/>
      <c r="FC347" s="244"/>
      <c r="FD347" s="245"/>
    </row>
    <row r="348" spans="1:166" ht="12" hidden="1">
      <c r="A348" s="156">
        <f t="shared" si="111"/>
        <v>1</v>
      </c>
      <c r="DD348" s="81" t="s">
        <v>280</v>
      </c>
      <c r="DE348" s="82"/>
      <c r="DF348" s="82"/>
      <c r="DG348" s="82"/>
      <c r="DH348" s="82"/>
      <c r="DI348" s="82"/>
      <c r="DJ348" s="82"/>
      <c r="DK348" s="82"/>
      <c r="DL348" s="82"/>
      <c r="DM348" s="82"/>
      <c r="DN348" s="82"/>
      <c r="DO348" s="82"/>
      <c r="DP348" s="82"/>
      <c r="DQ348" s="496" t="str">
        <f>LEFT(DD348,3)</f>
        <v>109</v>
      </c>
      <c r="DR348" s="496"/>
      <c r="DS348" s="83">
        <v>1</v>
      </c>
      <c r="DT348" s="496">
        <v>671</v>
      </c>
      <c r="DU348" s="496"/>
      <c r="DV348" s="83">
        <v>5</v>
      </c>
      <c r="DW348" s="83">
        <f>DS348</f>
        <v>1</v>
      </c>
      <c r="DX348" s="496">
        <v>109</v>
      </c>
      <c r="DY348" s="496"/>
      <c r="DZ348" s="83">
        <f>DS348</f>
        <v>1</v>
      </c>
      <c r="EA348" s="84">
        <f>EA314</f>
        <v>1</v>
      </c>
      <c r="EB348" s="295"/>
      <c r="EC348" s="84">
        <f>IF(LEFT(M107,3)=DQ348,1,0)*EA348</f>
        <v>0</v>
      </c>
      <c r="ED348" s="496">
        <f>DQ348*EC348</f>
        <v>0</v>
      </c>
      <c r="EE348" s="496"/>
      <c r="EF348" s="83">
        <f>DS348*EC348</f>
        <v>0</v>
      </c>
      <c r="EG348" s="496">
        <f>DT348*EC348</f>
        <v>0</v>
      </c>
      <c r="EH348" s="496"/>
      <c r="EI348" s="83">
        <f>DV348*EC348</f>
        <v>0</v>
      </c>
      <c r="EJ348" s="83">
        <f>DW348*EC348</f>
        <v>0</v>
      </c>
      <c r="EK348" s="496">
        <f>DX348*EC348</f>
        <v>0</v>
      </c>
      <c r="EL348" s="496"/>
      <c r="EM348" s="83">
        <f>DZ348*EC348</f>
        <v>0</v>
      </c>
      <c r="EN348" s="190"/>
      <c r="EO348" s="190"/>
      <c r="EP348" s="190"/>
      <c r="EQ348" s="190"/>
      <c r="ER348" s="385">
        <f>ER314</f>
        <v>0</v>
      </c>
      <c r="ES348" s="385"/>
      <c r="ET348" s="496">
        <f>EC348*ER348</f>
        <v>0</v>
      </c>
      <c r="EU348" s="496"/>
      <c r="EV348" s="675">
        <f>IF(ER378="",0,IF(ET348=0,0,IF(ER378&gt;FF349,FE348,IF(ER378&gt;FF350,FE349,FE350))))</f>
        <v>0</v>
      </c>
      <c r="EW348" s="675"/>
      <c r="EX348" s="675"/>
      <c r="EY348" s="675"/>
      <c r="EZ348" s="675"/>
      <c r="FA348" s="675"/>
      <c r="FB348" s="190">
        <f>EV348</f>
        <v>0</v>
      </c>
      <c r="FC348" s="244"/>
      <c r="FD348" s="245"/>
      <c r="FE348" s="55">
        <v>4</v>
      </c>
      <c r="FJ348" s="159" t="s">
        <v>236</v>
      </c>
    </row>
    <row r="349" spans="1:166" ht="12" hidden="1">
      <c r="A349" s="156">
        <f t="shared" si="111"/>
        <v>1</v>
      </c>
      <c r="DD349" s="81" t="s">
        <v>281</v>
      </c>
      <c r="DE349" s="82"/>
      <c r="DF349" s="82"/>
      <c r="DG349" s="82"/>
      <c r="DH349" s="82"/>
      <c r="DI349" s="82"/>
      <c r="DJ349" s="82"/>
      <c r="DK349" s="82"/>
      <c r="DL349" s="82"/>
      <c r="DM349" s="82"/>
      <c r="DN349" s="82"/>
      <c r="DO349" s="82"/>
      <c r="DP349" s="82"/>
      <c r="DQ349" s="496" t="str">
        <f>LEFT(DD349,3)</f>
        <v>456</v>
      </c>
      <c r="DR349" s="496"/>
      <c r="DS349" s="83">
        <v>1</v>
      </c>
      <c r="DT349" s="496">
        <v>675</v>
      </c>
      <c r="DU349" s="496"/>
      <c r="DV349" s="83">
        <v>4</v>
      </c>
      <c r="DW349" s="83">
        <f>DS349</f>
        <v>1</v>
      </c>
      <c r="DX349" s="496">
        <v>731</v>
      </c>
      <c r="DY349" s="496"/>
      <c r="DZ349" s="83">
        <f>DS349</f>
        <v>1</v>
      </c>
      <c r="EA349" s="84">
        <f>EA348</f>
        <v>1</v>
      </c>
      <c r="EB349" s="295"/>
      <c r="EC349" s="84">
        <f>IF(LEFT(M108,3)=DQ349,1,0)*EA349</f>
        <v>0</v>
      </c>
      <c r="ED349" s="496">
        <f>DQ349*EC349</f>
        <v>0</v>
      </c>
      <c r="EE349" s="496"/>
      <c r="EF349" s="83">
        <f>DS349*EC349</f>
        <v>0</v>
      </c>
      <c r="EG349" s="496">
        <f>DT349*EC349</f>
        <v>0</v>
      </c>
      <c r="EH349" s="496"/>
      <c r="EI349" s="83">
        <f>DV349*EC349</f>
        <v>0</v>
      </c>
      <c r="EJ349" s="83">
        <f>DW349*EC349</f>
        <v>0</v>
      </c>
      <c r="EK349" s="496">
        <f>DX349*EC349</f>
        <v>0</v>
      </c>
      <c r="EL349" s="496"/>
      <c r="EM349" s="83">
        <f>DZ349*EC349</f>
        <v>0</v>
      </c>
      <c r="EN349" s="190"/>
      <c r="EO349" s="190"/>
      <c r="EP349" s="190"/>
      <c r="EQ349" s="190"/>
      <c r="ER349" s="385">
        <f>ER348</f>
        <v>0</v>
      </c>
      <c r="ES349" s="385"/>
      <c r="ET349" s="496">
        <f>EC349*ER349</f>
        <v>0</v>
      </c>
      <c r="EU349" s="496"/>
      <c r="EV349" s="675">
        <f>IF(ER378="",0,IF(ET349=0,0,IF(ER378&gt;FF349,FE348,IF(ER378&gt;FF350,FE349,IF(ER378&gt;FF351,FE350,FE351)))))</f>
        <v>0</v>
      </c>
      <c r="EW349" s="675"/>
      <c r="EX349" s="675"/>
      <c r="EY349" s="675"/>
      <c r="EZ349" s="675"/>
      <c r="FA349" s="675"/>
      <c r="FB349" s="190">
        <f>EV349</f>
        <v>0</v>
      </c>
      <c r="FC349" s="244"/>
      <c r="FD349" s="245"/>
      <c r="FE349" s="55">
        <v>3</v>
      </c>
      <c r="FF349" s="394">
        <f>FF262</f>
        <v>731</v>
      </c>
      <c r="FG349" s="394"/>
      <c r="FH349" s="394"/>
      <c r="FI349" s="394"/>
      <c r="FJ349" s="159" t="s">
        <v>237</v>
      </c>
    </row>
    <row r="350" spans="1:166" ht="12" hidden="1">
      <c r="A350" s="156">
        <f t="shared" si="111"/>
        <v>1</v>
      </c>
      <c r="DD350" s="81" t="s">
        <v>282</v>
      </c>
      <c r="DE350" s="82"/>
      <c r="DF350" s="82"/>
      <c r="DG350" s="82"/>
      <c r="DH350" s="82"/>
      <c r="DI350" s="82"/>
      <c r="DJ350" s="82"/>
      <c r="DK350" s="82"/>
      <c r="DL350" s="82"/>
      <c r="DM350" s="82"/>
      <c r="DN350" s="82"/>
      <c r="DO350" s="82"/>
      <c r="DP350" s="82"/>
      <c r="DQ350" s="496" t="str">
        <f>LEFT(DD350,3)</f>
        <v>458</v>
      </c>
      <c r="DR350" s="496"/>
      <c r="DS350" s="83">
        <v>1</v>
      </c>
      <c r="DT350" s="496">
        <v>675</v>
      </c>
      <c r="DU350" s="496"/>
      <c r="DV350" s="83">
        <v>1</v>
      </c>
      <c r="DW350" s="83">
        <f>DS350</f>
        <v>1</v>
      </c>
      <c r="DX350" s="496">
        <v>731</v>
      </c>
      <c r="DY350" s="496"/>
      <c r="DZ350" s="83">
        <f>DS350</f>
        <v>1</v>
      </c>
      <c r="EA350" s="84">
        <f>EA349</f>
        <v>1</v>
      </c>
      <c r="EB350" s="295"/>
      <c r="EC350" s="84">
        <f>IF(LEFT(M109,3)=DQ350,1,0)*EA350</f>
        <v>0</v>
      </c>
      <c r="ED350" s="496">
        <f>DQ350*EC350</f>
        <v>0</v>
      </c>
      <c r="EE350" s="496"/>
      <c r="EF350" s="83">
        <f>DS350*EC350</f>
        <v>0</v>
      </c>
      <c r="EG350" s="496">
        <f>DT350*EC350</f>
        <v>0</v>
      </c>
      <c r="EH350" s="496"/>
      <c r="EI350" s="83">
        <f>DV350*EC350</f>
        <v>0</v>
      </c>
      <c r="EJ350" s="83">
        <f>DW350*EC350</f>
        <v>0</v>
      </c>
      <c r="EK350" s="496">
        <f>DX350*EC350</f>
        <v>0</v>
      </c>
      <c r="EL350" s="496"/>
      <c r="EM350" s="83">
        <f>DZ350*EC350</f>
        <v>0</v>
      </c>
      <c r="EN350" s="190"/>
      <c r="EO350" s="190"/>
      <c r="EP350" s="190"/>
      <c r="EQ350" s="190"/>
      <c r="ER350" s="385">
        <f>ER349</f>
        <v>0</v>
      </c>
      <c r="ES350" s="385"/>
      <c r="ET350" s="496">
        <f>EC350*ER350</f>
        <v>0</v>
      </c>
      <c r="EU350" s="496"/>
      <c r="EV350" s="675">
        <f>IF(ER378="",0,IF(ET350=0,0,IF(ER378&gt;FF349,FE348,IF(ER378&gt;FF350,FE349,IF(ER378&gt;FF351,FE350,FE351)))))</f>
        <v>0</v>
      </c>
      <c r="EW350" s="675"/>
      <c r="EX350" s="675"/>
      <c r="EY350" s="675"/>
      <c r="EZ350" s="675"/>
      <c r="FA350" s="675"/>
      <c r="FB350" s="190">
        <f>EV350</f>
        <v>0</v>
      </c>
      <c r="FC350" s="244"/>
      <c r="FD350" s="245"/>
      <c r="FE350" s="55">
        <v>2</v>
      </c>
      <c r="FF350" s="394">
        <f>FF263</f>
        <v>366</v>
      </c>
      <c r="FG350" s="394"/>
      <c r="FH350" s="394"/>
      <c r="FI350" s="394"/>
      <c r="FJ350" s="159" t="s">
        <v>238</v>
      </c>
    </row>
    <row r="351" spans="1:166" ht="12" hidden="1">
      <c r="A351" s="156">
        <f t="shared" si="111"/>
        <v>1</v>
      </c>
      <c r="DD351" s="81" t="s">
        <v>14</v>
      </c>
      <c r="DE351" s="82"/>
      <c r="DF351" s="82"/>
      <c r="DG351" s="82"/>
      <c r="DH351" s="82"/>
      <c r="DI351" s="82"/>
      <c r="DJ351" s="82"/>
      <c r="DK351" s="82"/>
      <c r="DL351" s="82"/>
      <c r="DM351" s="82"/>
      <c r="DN351" s="82"/>
      <c r="DO351" s="82"/>
      <c r="DP351" s="82"/>
      <c r="DQ351" s="496"/>
      <c r="DR351" s="496"/>
      <c r="DS351" s="83"/>
      <c r="DT351" s="496"/>
      <c r="DU351" s="496"/>
      <c r="DV351" s="83"/>
      <c r="DW351" s="83"/>
      <c r="DX351" s="496"/>
      <c r="DY351" s="496"/>
      <c r="DZ351" s="83"/>
      <c r="EA351" s="83"/>
      <c r="EB351" s="295"/>
      <c r="EC351" s="84"/>
      <c r="ED351" s="496"/>
      <c r="EE351" s="496"/>
      <c r="EF351" s="83"/>
      <c r="EG351" s="496"/>
      <c r="EH351" s="496"/>
      <c r="EI351" s="83"/>
      <c r="EJ351" s="83"/>
      <c r="EK351" s="496"/>
      <c r="EL351" s="496"/>
      <c r="EM351" s="83"/>
      <c r="EN351" s="190"/>
      <c r="EO351" s="190"/>
      <c r="EP351" s="190"/>
      <c r="EQ351" s="190"/>
      <c r="ER351" s="385"/>
      <c r="ES351" s="385"/>
      <c r="ET351" s="496"/>
      <c r="EU351" s="496"/>
      <c r="EV351" s="188"/>
      <c r="EW351" s="188"/>
      <c r="EX351" s="188"/>
      <c r="EY351" s="188"/>
      <c r="EZ351" s="188"/>
      <c r="FA351" s="188"/>
      <c r="FB351" s="188"/>
      <c r="FC351" s="244"/>
      <c r="FD351" s="245"/>
      <c r="FE351" s="55">
        <v>1</v>
      </c>
      <c r="FF351" s="394">
        <f>FF264</f>
        <v>90</v>
      </c>
      <c r="FG351" s="394"/>
      <c r="FH351" s="394"/>
      <c r="FI351" s="394"/>
      <c r="FJ351" s="159" t="s">
        <v>239</v>
      </c>
    </row>
    <row r="352" spans="1:166" ht="12" hidden="1">
      <c r="A352" s="156">
        <f t="shared" si="111"/>
        <v>1</v>
      </c>
      <c r="DD352" s="81" t="s">
        <v>14</v>
      </c>
      <c r="DE352" s="82"/>
      <c r="DF352" s="82"/>
      <c r="DG352" s="82"/>
      <c r="DH352" s="82"/>
      <c r="DI352" s="82"/>
      <c r="DJ352" s="82"/>
      <c r="DK352" s="82"/>
      <c r="DL352" s="82"/>
      <c r="DM352" s="82"/>
      <c r="DN352" s="82"/>
      <c r="DO352" s="82"/>
      <c r="DP352" s="82"/>
      <c r="DQ352" s="83"/>
      <c r="DR352" s="83"/>
      <c r="DS352" s="83"/>
      <c r="DT352" s="83"/>
      <c r="DU352" s="83"/>
      <c r="DV352" s="83"/>
      <c r="DW352" s="83"/>
      <c r="DX352" s="83"/>
      <c r="DY352" s="83"/>
      <c r="DZ352" s="83"/>
      <c r="EA352" s="83"/>
      <c r="EB352" s="295"/>
      <c r="EC352" s="84"/>
      <c r="ED352" s="83"/>
      <c r="EE352" s="83"/>
      <c r="EF352" s="83"/>
      <c r="EG352" s="83"/>
      <c r="EH352" s="83"/>
      <c r="EI352" s="83"/>
      <c r="EJ352" s="83"/>
      <c r="EK352" s="83"/>
      <c r="EL352" s="83"/>
      <c r="EM352" s="83"/>
      <c r="EN352" s="190"/>
      <c r="EO352" s="190"/>
      <c r="EP352" s="190"/>
      <c r="EQ352" s="190"/>
      <c r="ER352" s="385"/>
      <c r="ES352" s="385"/>
      <c r="ET352" s="83"/>
      <c r="EU352" s="83"/>
      <c r="EV352" s="188"/>
      <c r="EW352" s="188"/>
      <c r="EX352" s="188"/>
      <c r="EY352" s="188"/>
      <c r="EZ352" s="188"/>
      <c r="FA352" s="188"/>
      <c r="FB352" s="188"/>
      <c r="FC352" s="244"/>
      <c r="FD352" s="245"/>
      <c r="FE352" s="55"/>
      <c r="FF352" s="235"/>
      <c r="FG352" s="235"/>
      <c r="FH352" s="235"/>
      <c r="FI352" s="235"/>
      <c r="FJ352" s="159"/>
    </row>
    <row r="353" spans="1:166" ht="12" hidden="1">
      <c r="A353" s="156">
        <f t="shared" si="111"/>
        <v>1</v>
      </c>
      <c r="DD353" s="81" t="s">
        <v>14</v>
      </c>
      <c r="DE353" s="82"/>
      <c r="DF353" s="82"/>
      <c r="DG353" s="82"/>
      <c r="DH353" s="82"/>
      <c r="DI353" s="82"/>
      <c r="DJ353" s="82"/>
      <c r="DK353" s="82"/>
      <c r="DL353" s="82"/>
      <c r="DM353" s="82"/>
      <c r="DN353" s="82"/>
      <c r="DO353" s="82"/>
      <c r="DP353" s="82"/>
      <c r="DQ353" s="83"/>
      <c r="DR353" s="83"/>
      <c r="DS353" s="83"/>
      <c r="DT353" s="83"/>
      <c r="DU353" s="83"/>
      <c r="DV353" s="83"/>
      <c r="DW353" s="83"/>
      <c r="DX353" s="83"/>
      <c r="DY353" s="83"/>
      <c r="DZ353" s="83"/>
      <c r="EA353" s="83"/>
      <c r="EB353" s="295"/>
      <c r="EC353" s="84"/>
      <c r="ED353" s="83"/>
      <c r="EE353" s="83"/>
      <c r="EF353" s="83"/>
      <c r="EG353" s="83"/>
      <c r="EH353" s="83"/>
      <c r="EI353" s="83"/>
      <c r="EJ353" s="83"/>
      <c r="EK353" s="83"/>
      <c r="EL353" s="83"/>
      <c r="EM353" s="83"/>
      <c r="EN353" s="190"/>
      <c r="EO353" s="190"/>
      <c r="EP353" s="190"/>
      <c r="EQ353" s="190"/>
      <c r="ER353" s="385"/>
      <c r="ES353" s="385"/>
      <c r="ET353" s="83"/>
      <c r="EU353" s="83"/>
      <c r="EV353" s="188"/>
      <c r="EW353" s="188"/>
      <c r="EX353" s="188"/>
      <c r="EY353" s="188"/>
      <c r="EZ353" s="188"/>
      <c r="FA353" s="188"/>
      <c r="FB353" s="188"/>
      <c r="FC353" s="244"/>
      <c r="FD353" s="245"/>
      <c r="FE353" s="55"/>
      <c r="FF353" s="235"/>
      <c r="FG353" s="235"/>
      <c r="FH353" s="235"/>
      <c r="FI353" s="235"/>
      <c r="FJ353" s="159"/>
    </row>
    <row r="354" spans="1:166" ht="12" hidden="1">
      <c r="A354" s="156">
        <f t="shared" si="111"/>
        <v>1</v>
      </c>
      <c r="DD354" s="81" t="s">
        <v>14</v>
      </c>
      <c r="DE354" s="82"/>
      <c r="DF354" s="82"/>
      <c r="DG354" s="82"/>
      <c r="DH354" s="82"/>
      <c r="DI354" s="82"/>
      <c r="DJ354" s="82"/>
      <c r="DK354" s="82"/>
      <c r="DL354" s="82"/>
      <c r="DM354" s="82"/>
      <c r="DN354" s="82"/>
      <c r="DO354" s="82"/>
      <c r="DP354" s="82"/>
      <c r="DQ354" s="83"/>
      <c r="DR354" s="83"/>
      <c r="DS354" s="83"/>
      <c r="DT354" s="83"/>
      <c r="DU354" s="83"/>
      <c r="DV354" s="83"/>
      <c r="DW354" s="83"/>
      <c r="DX354" s="83"/>
      <c r="DY354" s="83"/>
      <c r="DZ354" s="83"/>
      <c r="EA354" s="83"/>
      <c r="EB354" s="295"/>
      <c r="EC354" s="84"/>
      <c r="ED354" s="83"/>
      <c r="EE354" s="83"/>
      <c r="EF354" s="83"/>
      <c r="EG354" s="83"/>
      <c r="EH354" s="83"/>
      <c r="EI354" s="83"/>
      <c r="EJ354" s="83"/>
      <c r="EK354" s="83"/>
      <c r="EL354" s="83"/>
      <c r="EM354" s="83"/>
      <c r="EN354" s="190"/>
      <c r="EO354" s="190"/>
      <c r="EP354" s="190"/>
      <c r="EQ354" s="190"/>
      <c r="ER354" s="385"/>
      <c r="ES354" s="385"/>
      <c r="ET354" s="83"/>
      <c r="EU354" s="83"/>
      <c r="EV354" s="188"/>
      <c r="EW354" s="188"/>
      <c r="EX354" s="188"/>
      <c r="EY354" s="188"/>
      <c r="EZ354" s="188"/>
      <c r="FA354" s="188"/>
      <c r="FB354" s="188"/>
      <c r="FC354" s="244"/>
      <c r="FD354" s="245"/>
      <c r="FE354" s="55"/>
      <c r="FF354" s="235"/>
      <c r="FG354" s="235"/>
      <c r="FH354" s="235"/>
      <c r="FI354" s="235"/>
      <c r="FJ354" s="159"/>
    </row>
    <row r="355" spans="1:166" ht="12" hidden="1">
      <c r="A355" s="156">
        <f t="shared" si="111"/>
        <v>1</v>
      </c>
      <c r="DD355" s="81" t="s">
        <v>14</v>
      </c>
      <c r="DE355" s="82"/>
      <c r="DF355" s="82"/>
      <c r="DG355" s="82"/>
      <c r="DH355" s="82"/>
      <c r="DI355" s="82"/>
      <c r="DJ355" s="82"/>
      <c r="DK355" s="82"/>
      <c r="DL355" s="82"/>
      <c r="DM355" s="82"/>
      <c r="DN355" s="82"/>
      <c r="DO355" s="82"/>
      <c r="DP355" s="82"/>
      <c r="DQ355" s="83"/>
      <c r="DR355" s="83"/>
      <c r="DS355" s="83"/>
      <c r="DT355" s="83"/>
      <c r="DU355" s="83"/>
      <c r="DV355" s="83"/>
      <c r="DW355" s="83"/>
      <c r="DX355" s="83"/>
      <c r="DY355" s="83"/>
      <c r="DZ355" s="83"/>
      <c r="EA355" s="83"/>
      <c r="EB355" s="295"/>
      <c r="EC355" s="84"/>
      <c r="ED355" s="83"/>
      <c r="EE355" s="83"/>
      <c r="EF355" s="83"/>
      <c r="EG355" s="83"/>
      <c r="EH355" s="83"/>
      <c r="EI355" s="83"/>
      <c r="EJ355" s="83"/>
      <c r="EK355" s="83"/>
      <c r="EL355" s="83"/>
      <c r="EM355" s="83"/>
      <c r="EN355" s="190"/>
      <c r="EO355" s="190"/>
      <c r="EP355" s="190"/>
      <c r="EQ355" s="190"/>
      <c r="ER355" s="385"/>
      <c r="ES355" s="385"/>
      <c r="ET355" s="83"/>
      <c r="EU355" s="83"/>
      <c r="EV355" s="188"/>
      <c r="EW355" s="188"/>
      <c r="EX355" s="188"/>
      <c r="EY355" s="188"/>
      <c r="EZ355" s="188"/>
      <c r="FA355" s="188"/>
      <c r="FB355" s="188"/>
      <c r="FC355" s="244"/>
      <c r="FD355" s="245"/>
      <c r="FE355" s="55"/>
      <c r="FF355" s="235"/>
      <c r="FG355" s="235"/>
      <c r="FH355" s="235"/>
      <c r="FI355" s="235"/>
      <c r="FJ355" s="159"/>
    </row>
    <row r="356" spans="1:166" ht="12" hidden="1">
      <c r="A356" s="156">
        <f t="shared" si="111"/>
        <v>1</v>
      </c>
      <c r="DD356" s="81" t="s">
        <v>14</v>
      </c>
      <c r="DE356" s="82"/>
      <c r="DF356" s="82"/>
      <c r="DG356" s="82"/>
      <c r="DH356" s="82"/>
      <c r="DI356" s="82"/>
      <c r="DJ356" s="82"/>
      <c r="DK356" s="82"/>
      <c r="DL356" s="82"/>
      <c r="DM356" s="82"/>
      <c r="DN356" s="82"/>
      <c r="DO356" s="82"/>
      <c r="DP356" s="82"/>
      <c r="DQ356" s="83"/>
      <c r="DR356" s="83"/>
      <c r="DS356" s="83"/>
      <c r="DT356" s="83"/>
      <c r="DU356" s="83"/>
      <c r="DV356" s="83"/>
      <c r="DW356" s="83"/>
      <c r="DX356" s="83"/>
      <c r="DY356" s="83"/>
      <c r="DZ356" s="83"/>
      <c r="EA356" s="83"/>
      <c r="EB356" s="296"/>
      <c r="EC356" s="84"/>
      <c r="ED356" s="83"/>
      <c r="EE356" s="83"/>
      <c r="EF356" s="83"/>
      <c r="EG356" s="83"/>
      <c r="EH356" s="83"/>
      <c r="EI356" s="83"/>
      <c r="EJ356" s="83"/>
      <c r="EK356" s="83"/>
      <c r="EL356" s="83"/>
      <c r="EM356" s="83"/>
      <c r="EN356" s="190"/>
      <c r="EO356" s="190"/>
      <c r="EP356" s="190"/>
      <c r="EQ356" s="190"/>
      <c r="ER356" s="385"/>
      <c r="ES356" s="385"/>
      <c r="ET356" s="83"/>
      <c r="EU356" s="83"/>
      <c r="EV356" s="188"/>
      <c r="EW356" s="188"/>
      <c r="EX356" s="188"/>
      <c r="EY356" s="188"/>
      <c r="EZ356" s="188"/>
      <c r="FA356" s="188"/>
      <c r="FB356" s="188"/>
      <c r="FC356" s="244"/>
      <c r="FD356" s="245"/>
      <c r="FE356" s="55"/>
      <c r="FF356" s="235"/>
      <c r="FG356" s="235"/>
      <c r="FH356" s="235"/>
      <c r="FI356" s="235"/>
      <c r="FJ356" s="159"/>
    </row>
    <row r="357" spans="1:166" ht="12" hidden="1">
      <c r="A357" s="156">
        <f t="shared" si="111"/>
        <v>1</v>
      </c>
      <c r="DD357" s="81" t="s">
        <v>14</v>
      </c>
      <c r="DE357" s="82"/>
      <c r="DF357" s="82"/>
      <c r="DG357" s="82"/>
      <c r="DH357" s="82"/>
      <c r="DI357" s="82"/>
      <c r="DJ357" s="82"/>
      <c r="DK357" s="82"/>
      <c r="DL357" s="82"/>
      <c r="DM357" s="82"/>
      <c r="DN357" s="82"/>
      <c r="DO357" s="82"/>
      <c r="DP357" s="82"/>
      <c r="DQ357" s="83"/>
      <c r="DR357" s="83"/>
      <c r="DS357" s="83"/>
      <c r="DT357" s="83"/>
      <c r="DU357" s="83"/>
      <c r="DV357" s="83"/>
      <c r="DW357" s="83"/>
      <c r="DX357" s="83"/>
      <c r="DY357" s="83"/>
      <c r="DZ357" s="83"/>
      <c r="EA357" s="83"/>
      <c r="EB357" s="296"/>
      <c r="EC357" s="84"/>
      <c r="ED357" s="83"/>
      <c r="EE357" s="83"/>
      <c r="EF357" s="83"/>
      <c r="EG357" s="83"/>
      <c r="EH357" s="83"/>
      <c r="EI357" s="83"/>
      <c r="EJ357" s="83"/>
      <c r="EK357" s="83"/>
      <c r="EL357" s="83"/>
      <c r="EM357" s="83"/>
      <c r="EN357" s="190"/>
      <c r="EO357" s="190"/>
      <c r="EP357" s="190"/>
      <c r="EQ357" s="190"/>
      <c r="ER357" s="385"/>
      <c r="ES357" s="385"/>
      <c r="ET357" s="83"/>
      <c r="EU357" s="83"/>
      <c r="EV357" s="188"/>
      <c r="EW357" s="188"/>
      <c r="EX357" s="188"/>
      <c r="EY357" s="188"/>
      <c r="EZ357" s="188"/>
      <c r="FA357" s="188"/>
      <c r="FB357" s="188"/>
      <c r="FC357" s="244"/>
      <c r="FD357" s="245"/>
      <c r="FE357" s="55"/>
      <c r="FF357" s="235"/>
      <c r="FG357" s="235"/>
      <c r="FH357" s="235"/>
      <c r="FI357" s="235"/>
      <c r="FJ357" s="159"/>
    </row>
    <row r="358" spans="1:166" ht="12" hidden="1">
      <c r="A358" s="156">
        <f t="shared" si="111"/>
        <v>1</v>
      </c>
      <c r="DD358" s="81" t="s">
        <v>14</v>
      </c>
      <c r="DE358" s="82"/>
      <c r="DF358" s="82"/>
      <c r="DG358" s="82"/>
      <c r="DH358" s="82"/>
      <c r="DI358" s="82"/>
      <c r="DJ358" s="82"/>
      <c r="DK358" s="82"/>
      <c r="DL358" s="82"/>
      <c r="DM358" s="82"/>
      <c r="DN358" s="82"/>
      <c r="DO358" s="82"/>
      <c r="DP358" s="82"/>
      <c r="DQ358" s="83"/>
      <c r="DR358" s="83"/>
      <c r="DS358" s="83"/>
      <c r="DT358" s="83"/>
      <c r="DU358" s="83"/>
      <c r="DV358" s="83"/>
      <c r="DW358" s="83"/>
      <c r="DX358" s="83"/>
      <c r="DY358" s="83"/>
      <c r="DZ358" s="83"/>
      <c r="EA358" s="83"/>
      <c r="EB358" s="296"/>
      <c r="EC358" s="84"/>
      <c r="ED358" s="83"/>
      <c r="EE358" s="83"/>
      <c r="EF358" s="83"/>
      <c r="EG358" s="83"/>
      <c r="EH358" s="83"/>
      <c r="EI358" s="83"/>
      <c r="EJ358" s="83"/>
      <c r="EK358" s="83"/>
      <c r="EL358" s="83"/>
      <c r="EM358" s="83"/>
      <c r="EN358" s="190"/>
      <c r="EO358" s="190"/>
      <c r="EP358" s="190"/>
      <c r="EQ358" s="190"/>
      <c r="ER358" s="385"/>
      <c r="ES358" s="385"/>
      <c r="ET358" s="83"/>
      <c r="EU358" s="83"/>
      <c r="EV358" s="188"/>
      <c r="EW358" s="188"/>
      <c r="EX358" s="188"/>
      <c r="EY358" s="188"/>
      <c r="EZ358" s="188"/>
      <c r="FA358" s="188"/>
      <c r="FB358" s="188"/>
      <c r="FC358" s="244"/>
      <c r="FD358" s="245"/>
      <c r="FE358" s="55"/>
      <c r="FF358" s="235"/>
      <c r="FG358" s="235"/>
      <c r="FH358" s="235"/>
      <c r="FI358" s="235"/>
      <c r="FJ358" s="159"/>
    </row>
    <row r="359" spans="1:166" ht="12" hidden="1">
      <c r="A359" s="156">
        <f t="shared" si="111"/>
        <v>1</v>
      </c>
      <c r="DD359" s="81" t="s">
        <v>14</v>
      </c>
      <c r="DE359" s="82"/>
      <c r="DF359" s="82"/>
      <c r="DG359" s="82"/>
      <c r="DH359" s="82"/>
      <c r="DI359" s="82"/>
      <c r="DJ359" s="82"/>
      <c r="DK359" s="82"/>
      <c r="DL359" s="82"/>
      <c r="DM359" s="82"/>
      <c r="DN359" s="82"/>
      <c r="DO359" s="82"/>
      <c r="DP359" s="82"/>
      <c r="DQ359" s="83"/>
      <c r="DR359" s="83"/>
      <c r="DS359" s="83"/>
      <c r="DT359" s="83"/>
      <c r="DU359" s="83"/>
      <c r="DV359" s="83"/>
      <c r="DW359" s="83"/>
      <c r="DX359" s="83"/>
      <c r="DY359" s="83"/>
      <c r="DZ359" s="83"/>
      <c r="EA359" s="83"/>
      <c r="EB359" s="296"/>
      <c r="EC359" s="84"/>
      <c r="ED359" s="83"/>
      <c r="EE359" s="83"/>
      <c r="EF359" s="83"/>
      <c r="EG359" s="83"/>
      <c r="EH359" s="83"/>
      <c r="EI359" s="83"/>
      <c r="EJ359" s="83"/>
      <c r="EK359" s="83"/>
      <c r="EL359" s="83"/>
      <c r="EM359" s="83"/>
      <c r="EN359" s="190"/>
      <c r="EO359" s="190"/>
      <c r="EP359" s="190"/>
      <c r="EQ359" s="190"/>
      <c r="ER359" s="385"/>
      <c r="ES359" s="385"/>
      <c r="ET359" s="83"/>
      <c r="EU359" s="83"/>
      <c r="EV359" s="188"/>
      <c r="EW359" s="188"/>
      <c r="EX359" s="188"/>
      <c r="EY359" s="188"/>
      <c r="EZ359" s="188"/>
      <c r="FA359" s="188"/>
      <c r="FB359" s="188"/>
      <c r="FC359" s="244"/>
      <c r="FD359" s="245"/>
      <c r="FE359" s="55"/>
      <c r="FF359" s="235"/>
      <c r="FG359" s="235"/>
      <c r="FH359" s="235"/>
      <c r="FI359" s="235"/>
      <c r="FJ359" s="159"/>
    </row>
    <row r="360" spans="1:166" ht="12" hidden="1">
      <c r="A360" s="156">
        <f t="shared" si="111"/>
        <v>1</v>
      </c>
      <c r="DD360" s="81" t="s">
        <v>14</v>
      </c>
      <c r="DE360" s="82"/>
      <c r="DF360" s="82"/>
      <c r="DG360" s="82"/>
      <c r="DH360" s="82"/>
      <c r="DI360" s="82"/>
      <c r="DJ360" s="82"/>
      <c r="DK360" s="82"/>
      <c r="DL360" s="82"/>
      <c r="DM360" s="82"/>
      <c r="DN360" s="82"/>
      <c r="DO360" s="82"/>
      <c r="DP360" s="82"/>
      <c r="DQ360" s="83"/>
      <c r="DR360" s="83"/>
      <c r="DS360" s="83"/>
      <c r="DT360" s="83"/>
      <c r="DU360" s="83"/>
      <c r="DV360" s="83"/>
      <c r="DW360" s="83"/>
      <c r="DX360" s="83"/>
      <c r="DY360" s="83"/>
      <c r="DZ360" s="83"/>
      <c r="EA360" s="83"/>
      <c r="EB360" s="296"/>
      <c r="EC360" s="84"/>
      <c r="ED360" s="83"/>
      <c r="EE360" s="83"/>
      <c r="EF360" s="83"/>
      <c r="EG360" s="83"/>
      <c r="EH360" s="83"/>
      <c r="EI360" s="83"/>
      <c r="EJ360" s="83"/>
      <c r="EK360" s="83"/>
      <c r="EL360" s="83"/>
      <c r="EM360" s="83"/>
      <c r="EN360" s="190"/>
      <c r="EO360" s="190"/>
      <c r="EP360" s="190"/>
      <c r="EQ360" s="190"/>
      <c r="ER360" s="385"/>
      <c r="ES360" s="385"/>
      <c r="ET360" s="83"/>
      <c r="EU360" s="83"/>
      <c r="EV360" s="188"/>
      <c r="EW360" s="188"/>
      <c r="EX360" s="188"/>
      <c r="EY360" s="188"/>
      <c r="EZ360" s="188"/>
      <c r="FA360" s="188"/>
      <c r="FB360" s="188"/>
      <c r="FC360" s="244"/>
      <c r="FD360" s="245"/>
      <c r="FE360" s="55"/>
      <c r="FF360" s="235"/>
      <c r="FG360" s="235"/>
      <c r="FH360" s="235"/>
      <c r="FI360" s="235"/>
      <c r="FJ360" s="159"/>
    </row>
    <row r="361" spans="1:166" ht="12" hidden="1">
      <c r="A361" s="156">
        <f t="shared" si="111"/>
        <v>1</v>
      </c>
      <c r="DD361" s="81" t="s">
        <v>14</v>
      </c>
      <c r="DE361" s="82"/>
      <c r="DF361" s="82"/>
      <c r="DG361" s="82"/>
      <c r="DH361" s="82"/>
      <c r="DI361" s="82"/>
      <c r="DJ361" s="82"/>
      <c r="DK361" s="82"/>
      <c r="DL361" s="82"/>
      <c r="DM361" s="82"/>
      <c r="DN361" s="82"/>
      <c r="DO361" s="82"/>
      <c r="DP361" s="82"/>
      <c r="DQ361" s="83"/>
      <c r="DR361" s="83"/>
      <c r="DS361" s="83"/>
      <c r="DT361" s="83"/>
      <c r="DU361" s="83"/>
      <c r="DV361" s="83"/>
      <c r="DW361" s="83"/>
      <c r="DX361" s="83"/>
      <c r="DY361" s="83"/>
      <c r="DZ361" s="83"/>
      <c r="EA361" s="83"/>
      <c r="EB361" s="296"/>
      <c r="EC361" s="84"/>
      <c r="ED361" s="83"/>
      <c r="EE361" s="83"/>
      <c r="EF361" s="83"/>
      <c r="EG361" s="83"/>
      <c r="EH361" s="83"/>
      <c r="EI361" s="83"/>
      <c r="EJ361" s="83"/>
      <c r="EK361" s="83"/>
      <c r="EL361" s="83"/>
      <c r="EM361" s="83"/>
      <c r="EN361" s="190"/>
      <c r="EO361" s="190"/>
      <c r="EP361" s="190"/>
      <c r="EQ361" s="190"/>
      <c r="ER361" s="385"/>
      <c r="ES361" s="385"/>
      <c r="ET361" s="83"/>
      <c r="EU361" s="83"/>
      <c r="EV361" s="188"/>
      <c r="EW361" s="188"/>
      <c r="EX361" s="188"/>
      <c r="EY361" s="188"/>
      <c r="EZ361" s="188"/>
      <c r="FA361" s="188"/>
      <c r="FB361" s="188"/>
      <c r="FC361" s="244"/>
      <c r="FD361" s="245"/>
      <c r="FE361" s="55"/>
      <c r="FF361" s="235"/>
      <c r="FG361" s="235"/>
      <c r="FH361" s="235"/>
      <c r="FI361" s="235"/>
      <c r="FJ361" s="159"/>
    </row>
    <row r="362" spans="1:160" ht="12" hidden="1">
      <c r="A362" s="156">
        <f aca="true" t="shared" si="127" ref="A362:A425">A361</f>
        <v>1</v>
      </c>
      <c r="DD362" s="81" t="s">
        <v>14</v>
      </c>
      <c r="DE362" s="82"/>
      <c r="DF362" s="82"/>
      <c r="DG362" s="82"/>
      <c r="DH362" s="82"/>
      <c r="DI362" s="82"/>
      <c r="DJ362" s="82"/>
      <c r="DK362" s="82"/>
      <c r="DL362" s="82"/>
      <c r="DM362" s="82"/>
      <c r="DN362" s="82"/>
      <c r="DO362" s="82"/>
      <c r="DP362" s="82"/>
      <c r="DQ362" s="496"/>
      <c r="DR362" s="496"/>
      <c r="DS362" s="83"/>
      <c r="DT362" s="496"/>
      <c r="DU362" s="496"/>
      <c r="DV362" s="83"/>
      <c r="DW362" s="83"/>
      <c r="DX362" s="496"/>
      <c r="DY362" s="496"/>
      <c r="DZ362" s="83"/>
      <c r="EA362" s="83"/>
      <c r="EB362" s="296"/>
      <c r="EC362" s="84"/>
      <c r="ED362" s="496"/>
      <c r="EE362" s="496"/>
      <c r="EF362" s="83"/>
      <c r="EG362" s="496"/>
      <c r="EH362" s="496"/>
      <c r="EI362" s="83"/>
      <c r="EJ362" s="83"/>
      <c r="EK362" s="496"/>
      <c r="EL362" s="496"/>
      <c r="EM362" s="83"/>
      <c r="EN362" s="190"/>
      <c r="EO362" s="190"/>
      <c r="EP362" s="190"/>
      <c r="EQ362" s="190"/>
      <c r="ER362" s="385"/>
      <c r="ES362" s="385"/>
      <c r="ET362" s="496"/>
      <c r="EU362" s="496"/>
      <c r="EV362" s="188"/>
      <c r="EW362" s="188"/>
      <c r="EX362" s="188"/>
      <c r="EY362" s="188"/>
      <c r="EZ362" s="188"/>
      <c r="FA362" s="188"/>
      <c r="FB362" s="188"/>
      <c r="FC362" s="244"/>
      <c r="FD362" s="245"/>
    </row>
    <row r="363" spans="1:160" ht="12" hidden="1">
      <c r="A363" s="156">
        <f t="shared" si="127"/>
        <v>1</v>
      </c>
      <c r="DD363" s="81" t="s">
        <v>14</v>
      </c>
      <c r="DE363" s="82"/>
      <c r="DF363" s="82"/>
      <c r="DG363" s="82"/>
      <c r="DH363" s="82"/>
      <c r="DI363" s="82"/>
      <c r="DJ363" s="82"/>
      <c r="DK363" s="82"/>
      <c r="DL363" s="82"/>
      <c r="DM363" s="82"/>
      <c r="DN363" s="82"/>
      <c r="DO363" s="82"/>
      <c r="DP363" s="82"/>
      <c r="DQ363" s="496"/>
      <c r="DR363" s="496"/>
      <c r="DS363" s="83"/>
      <c r="DT363" s="496"/>
      <c r="DU363" s="496"/>
      <c r="DV363" s="83"/>
      <c r="DW363" s="83"/>
      <c r="DX363" s="496"/>
      <c r="DY363" s="496"/>
      <c r="DZ363" s="83"/>
      <c r="EA363" s="83"/>
      <c r="EB363" s="296"/>
      <c r="EC363" s="84"/>
      <c r="ED363" s="496"/>
      <c r="EE363" s="496"/>
      <c r="EF363" s="83"/>
      <c r="EG363" s="496"/>
      <c r="EH363" s="496"/>
      <c r="EI363" s="83"/>
      <c r="EJ363" s="83"/>
      <c r="EK363" s="496"/>
      <c r="EL363" s="496"/>
      <c r="EM363" s="83"/>
      <c r="EN363" s="190"/>
      <c r="EO363" s="190"/>
      <c r="EP363" s="190"/>
      <c r="EQ363" s="190"/>
      <c r="ER363" s="385"/>
      <c r="ES363" s="385"/>
      <c r="ET363" s="496"/>
      <c r="EU363" s="496"/>
      <c r="EV363" s="188"/>
      <c r="EW363" s="188"/>
      <c r="EX363" s="188"/>
      <c r="EY363" s="188"/>
      <c r="EZ363" s="188"/>
      <c r="FA363" s="188"/>
      <c r="FB363" s="188"/>
      <c r="FC363" s="244"/>
      <c r="FD363" s="245"/>
    </row>
    <row r="364" spans="1:160" ht="12" hidden="1">
      <c r="A364" s="156">
        <f t="shared" si="127"/>
        <v>1</v>
      </c>
      <c r="DD364" s="81" t="s">
        <v>14</v>
      </c>
      <c r="DE364" s="82"/>
      <c r="DF364" s="82"/>
      <c r="DG364" s="82"/>
      <c r="DH364" s="82"/>
      <c r="DI364" s="82"/>
      <c r="DJ364" s="82"/>
      <c r="DK364" s="82"/>
      <c r="DL364" s="82"/>
      <c r="DM364" s="82"/>
      <c r="DN364" s="82"/>
      <c r="DO364" s="82"/>
      <c r="DP364" s="82"/>
      <c r="DQ364" s="496"/>
      <c r="DR364" s="496"/>
      <c r="DS364" s="83"/>
      <c r="DT364" s="496"/>
      <c r="DU364" s="496"/>
      <c r="DV364" s="83"/>
      <c r="DW364" s="83"/>
      <c r="DX364" s="496"/>
      <c r="DY364" s="496"/>
      <c r="DZ364" s="83"/>
      <c r="EA364" s="83"/>
      <c r="EB364" s="296"/>
      <c r="EC364" s="84"/>
      <c r="ED364" s="496"/>
      <c r="EE364" s="496"/>
      <c r="EF364" s="83"/>
      <c r="EG364" s="496"/>
      <c r="EH364" s="496"/>
      <c r="EI364" s="83"/>
      <c r="EJ364" s="83"/>
      <c r="EK364" s="496"/>
      <c r="EL364" s="496"/>
      <c r="EM364" s="83"/>
      <c r="EN364" s="190"/>
      <c r="EO364" s="190"/>
      <c r="EP364" s="190"/>
      <c r="EQ364" s="190"/>
      <c r="ER364" s="385"/>
      <c r="ES364" s="385"/>
      <c r="ET364" s="496"/>
      <c r="EU364" s="496"/>
      <c r="EV364" s="188"/>
      <c r="EW364" s="188"/>
      <c r="EX364" s="188"/>
      <c r="EY364" s="188"/>
      <c r="EZ364" s="188"/>
      <c r="FA364" s="188"/>
      <c r="FB364" s="188"/>
      <c r="FC364" s="244"/>
      <c r="FD364" s="245"/>
    </row>
    <row r="365" spans="1:160" ht="12" hidden="1">
      <c r="A365" s="156">
        <f t="shared" si="127"/>
        <v>1</v>
      </c>
      <c r="DD365" s="81" t="s">
        <v>14</v>
      </c>
      <c r="DE365" s="82"/>
      <c r="DF365" s="82"/>
      <c r="DG365" s="82"/>
      <c r="DH365" s="82"/>
      <c r="DI365" s="82"/>
      <c r="DJ365" s="82"/>
      <c r="DK365" s="82"/>
      <c r="DL365" s="82"/>
      <c r="DM365" s="82"/>
      <c r="DN365" s="82"/>
      <c r="DO365" s="82"/>
      <c r="DP365" s="82"/>
      <c r="DQ365" s="496"/>
      <c r="DR365" s="496"/>
      <c r="DS365" s="83"/>
      <c r="DT365" s="496"/>
      <c r="DU365" s="496"/>
      <c r="DV365" s="83"/>
      <c r="DW365" s="83"/>
      <c r="DX365" s="496"/>
      <c r="DY365" s="496"/>
      <c r="DZ365" s="83"/>
      <c r="EA365" s="83"/>
      <c r="EB365" s="296"/>
      <c r="EC365" s="84"/>
      <c r="ED365" s="496"/>
      <c r="EE365" s="496"/>
      <c r="EF365" s="83"/>
      <c r="EG365" s="496"/>
      <c r="EH365" s="496"/>
      <c r="EI365" s="83"/>
      <c r="EJ365" s="83"/>
      <c r="EK365" s="496"/>
      <c r="EL365" s="496"/>
      <c r="EM365" s="83"/>
      <c r="EN365" s="190"/>
      <c r="EO365" s="190"/>
      <c r="EP365" s="190"/>
      <c r="EQ365" s="190"/>
      <c r="ER365" s="385"/>
      <c r="ES365" s="385"/>
      <c r="ET365" s="496"/>
      <c r="EU365" s="496"/>
      <c r="EV365" s="188"/>
      <c r="EW365" s="188"/>
      <c r="EX365" s="188"/>
      <c r="EY365" s="188"/>
      <c r="EZ365" s="188"/>
      <c r="FA365" s="188"/>
      <c r="FB365" s="188"/>
      <c r="FC365" s="244"/>
      <c r="FD365" s="245"/>
    </row>
    <row r="366" spans="1:160" ht="12" hidden="1">
      <c r="A366" s="156">
        <f t="shared" si="127"/>
        <v>1</v>
      </c>
      <c r="DD366" s="82" t="s">
        <v>14</v>
      </c>
      <c r="DE366" s="82"/>
      <c r="DF366" s="82"/>
      <c r="DG366" s="82"/>
      <c r="DH366" s="82"/>
      <c r="DI366" s="82"/>
      <c r="DJ366" s="82"/>
      <c r="DK366" s="82"/>
      <c r="DL366" s="82"/>
      <c r="DM366" s="82"/>
      <c r="DN366" s="82"/>
      <c r="DO366" s="82"/>
      <c r="DP366" s="82"/>
      <c r="DQ366" s="87"/>
      <c r="DR366" s="87"/>
      <c r="DS366" s="87"/>
      <c r="DT366" s="87"/>
      <c r="DU366" s="87"/>
      <c r="DV366" s="87"/>
      <c r="DW366" s="87"/>
      <c r="DX366" s="87"/>
      <c r="DY366" s="87"/>
      <c r="DZ366" s="87"/>
      <c r="EA366" s="87"/>
      <c r="EB366" s="296"/>
      <c r="EC366" s="87"/>
      <c r="ED366" s="496"/>
      <c r="EE366" s="496"/>
      <c r="EF366" s="83"/>
      <c r="EG366" s="496"/>
      <c r="EH366" s="496"/>
      <c r="EI366" s="83"/>
      <c r="EJ366" s="83"/>
      <c r="EK366" s="496"/>
      <c r="EL366" s="496"/>
      <c r="EM366" s="83"/>
      <c r="EN366" s="190"/>
      <c r="EO366" s="190"/>
      <c r="EP366" s="190"/>
      <c r="EQ366" s="190"/>
      <c r="ER366" s="385"/>
      <c r="ES366" s="385"/>
      <c r="ET366" s="496"/>
      <c r="EU366" s="496"/>
      <c r="EV366" s="188"/>
      <c r="EW366" s="188"/>
      <c r="EX366" s="188"/>
      <c r="EY366" s="188"/>
      <c r="EZ366" s="188"/>
      <c r="FA366" s="188"/>
      <c r="FB366" s="188"/>
      <c r="FC366" s="244"/>
      <c r="FD366" s="245"/>
    </row>
    <row r="367" spans="1:160" ht="12" hidden="1">
      <c r="A367" s="156">
        <f t="shared" si="127"/>
        <v>1</v>
      </c>
      <c r="DD367" s="82" t="s">
        <v>14</v>
      </c>
      <c r="DE367" s="82"/>
      <c r="DF367" s="82"/>
      <c r="DG367" s="82"/>
      <c r="DH367" s="82"/>
      <c r="DI367" s="82"/>
      <c r="DJ367" s="82"/>
      <c r="DK367" s="82"/>
      <c r="DL367" s="82"/>
      <c r="DM367" s="82"/>
      <c r="DN367" s="82"/>
      <c r="DO367" s="82"/>
      <c r="DP367" s="82"/>
      <c r="DQ367" s="87"/>
      <c r="DR367" s="87"/>
      <c r="DS367" s="87"/>
      <c r="DT367" s="87"/>
      <c r="DU367" s="87"/>
      <c r="DV367" s="87"/>
      <c r="DW367" s="87"/>
      <c r="DX367" s="87"/>
      <c r="DY367" s="87"/>
      <c r="DZ367" s="87"/>
      <c r="EA367" s="87"/>
      <c r="EB367" s="296"/>
      <c r="EC367" s="87"/>
      <c r="ED367" s="496"/>
      <c r="EE367" s="496"/>
      <c r="EF367" s="83"/>
      <c r="EG367" s="496"/>
      <c r="EH367" s="496"/>
      <c r="EI367" s="83"/>
      <c r="EJ367" s="83"/>
      <c r="EK367" s="496"/>
      <c r="EL367" s="496"/>
      <c r="EM367" s="83"/>
      <c r="EN367" s="190"/>
      <c r="EO367" s="190"/>
      <c r="EP367" s="190"/>
      <c r="EQ367" s="190"/>
      <c r="ER367" s="385"/>
      <c r="ES367" s="385"/>
      <c r="ET367" s="496"/>
      <c r="EU367" s="496"/>
      <c r="EV367" s="188"/>
      <c r="EW367" s="188"/>
      <c r="EX367" s="188"/>
      <c r="EY367" s="188"/>
      <c r="EZ367" s="188"/>
      <c r="FA367" s="188"/>
      <c r="FB367" s="188"/>
      <c r="FC367" s="244"/>
      <c r="FD367" s="245"/>
    </row>
    <row r="368" spans="1:160" ht="12" hidden="1">
      <c r="A368" s="156">
        <f t="shared" si="127"/>
        <v>1</v>
      </c>
      <c r="DD368" s="82" t="s">
        <v>14</v>
      </c>
      <c r="DE368" s="82"/>
      <c r="DF368" s="82"/>
      <c r="DG368" s="82"/>
      <c r="DH368" s="82"/>
      <c r="DI368" s="82"/>
      <c r="DJ368" s="82"/>
      <c r="DK368" s="82"/>
      <c r="DL368" s="82"/>
      <c r="DM368" s="82"/>
      <c r="DN368" s="82"/>
      <c r="DO368" s="82"/>
      <c r="DP368" s="82"/>
      <c r="DQ368" s="87"/>
      <c r="DR368" s="87"/>
      <c r="DS368" s="87"/>
      <c r="DT368" s="87"/>
      <c r="DU368" s="87"/>
      <c r="DV368" s="87"/>
      <c r="DW368" s="87"/>
      <c r="DX368" s="87"/>
      <c r="DY368" s="87"/>
      <c r="DZ368" s="87"/>
      <c r="EA368" s="87"/>
      <c r="EB368" s="296"/>
      <c r="EC368" s="87"/>
      <c r="ED368" s="496"/>
      <c r="EE368" s="496"/>
      <c r="EF368" s="83"/>
      <c r="EG368" s="496"/>
      <c r="EH368" s="496"/>
      <c r="EI368" s="83"/>
      <c r="EJ368" s="83"/>
      <c r="EK368" s="496"/>
      <c r="EL368" s="496"/>
      <c r="EM368" s="83"/>
      <c r="EN368" s="190"/>
      <c r="EO368" s="190"/>
      <c r="EP368" s="190"/>
      <c r="EQ368" s="190"/>
      <c r="ER368" s="385"/>
      <c r="ES368" s="385"/>
      <c r="ET368" s="496"/>
      <c r="EU368" s="496"/>
      <c r="EV368" s="188"/>
      <c r="EW368" s="188"/>
      <c r="EX368" s="188"/>
      <c r="EY368" s="188"/>
      <c r="EZ368" s="188"/>
      <c r="FA368" s="188"/>
      <c r="FB368" s="188"/>
      <c r="FC368" s="244"/>
      <c r="FD368" s="245"/>
    </row>
    <row r="369" spans="1:160" ht="12" hidden="1">
      <c r="A369" s="156">
        <f t="shared" si="127"/>
        <v>1</v>
      </c>
      <c r="DD369" s="82" t="s">
        <v>14</v>
      </c>
      <c r="DE369" s="82"/>
      <c r="DF369" s="82"/>
      <c r="DG369" s="82"/>
      <c r="DH369" s="82"/>
      <c r="DI369" s="82"/>
      <c r="DJ369" s="82"/>
      <c r="DK369" s="82"/>
      <c r="DL369" s="82"/>
      <c r="DM369" s="82"/>
      <c r="DN369" s="82"/>
      <c r="DO369" s="82"/>
      <c r="DP369" s="82"/>
      <c r="DQ369" s="87"/>
      <c r="DR369" s="87"/>
      <c r="DS369" s="87"/>
      <c r="DT369" s="87"/>
      <c r="DU369" s="87"/>
      <c r="DV369" s="87"/>
      <c r="DW369" s="87"/>
      <c r="DX369" s="87"/>
      <c r="DY369" s="87"/>
      <c r="DZ369" s="87"/>
      <c r="EA369" s="87"/>
      <c r="EB369" s="296"/>
      <c r="EC369" s="87"/>
      <c r="ED369" s="496"/>
      <c r="EE369" s="496"/>
      <c r="EF369" s="83"/>
      <c r="EG369" s="496"/>
      <c r="EH369" s="496"/>
      <c r="EI369" s="83"/>
      <c r="EJ369" s="83"/>
      <c r="EK369" s="496"/>
      <c r="EL369" s="496"/>
      <c r="EM369" s="83"/>
      <c r="EN369" s="190"/>
      <c r="EO369" s="190"/>
      <c r="EP369" s="190"/>
      <c r="EQ369" s="190"/>
      <c r="ER369" s="385"/>
      <c r="ES369" s="385"/>
      <c r="ET369" s="496"/>
      <c r="EU369" s="496"/>
      <c r="EV369" s="188"/>
      <c r="EW369" s="188"/>
      <c r="EX369" s="188"/>
      <c r="EY369" s="188"/>
      <c r="EZ369" s="188"/>
      <c r="FA369" s="188"/>
      <c r="FB369" s="188"/>
      <c r="FC369" s="244"/>
      <c r="FD369" s="245"/>
    </row>
    <row r="370" spans="1:160" ht="12" hidden="1">
      <c r="A370" s="156">
        <f t="shared" si="127"/>
        <v>1</v>
      </c>
      <c r="DD370" s="82" t="s">
        <v>14</v>
      </c>
      <c r="DE370" s="82"/>
      <c r="DF370" s="82"/>
      <c r="DG370" s="82"/>
      <c r="DH370" s="82"/>
      <c r="DI370" s="82"/>
      <c r="DJ370" s="82"/>
      <c r="DK370" s="82"/>
      <c r="DL370" s="82"/>
      <c r="DM370" s="82"/>
      <c r="DN370" s="82"/>
      <c r="DO370" s="82"/>
      <c r="DP370" s="82"/>
      <c r="DQ370" s="87"/>
      <c r="DR370" s="87"/>
      <c r="DS370" s="87"/>
      <c r="DT370" s="87"/>
      <c r="DU370" s="87"/>
      <c r="DV370" s="87"/>
      <c r="DW370" s="87"/>
      <c r="DX370" s="87"/>
      <c r="DY370" s="87"/>
      <c r="DZ370" s="87"/>
      <c r="EA370" s="87"/>
      <c r="EB370" s="296"/>
      <c r="EC370" s="87"/>
      <c r="ED370" s="496"/>
      <c r="EE370" s="496"/>
      <c r="EF370" s="83"/>
      <c r="EG370" s="496"/>
      <c r="EH370" s="496"/>
      <c r="EI370" s="83"/>
      <c r="EJ370" s="83"/>
      <c r="EK370" s="496"/>
      <c r="EL370" s="496"/>
      <c r="EM370" s="83"/>
      <c r="EN370" s="190"/>
      <c r="EO370" s="190"/>
      <c r="EP370" s="190"/>
      <c r="EQ370" s="190"/>
      <c r="ER370" s="385"/>
      <c r="ES370" s="385"/>
      <c r="ET370" s="496"/>
      <c r="EU370" s="496"/>
      <c r="EV370" s="188"/>
      <c r="EW370" s="188"/>
      <c r="EX370" s="188"/>
      <c r="EY370" s="188"/>
      <c r="EZ370" s="188"/>
      <c r="FA370" s="188"/>
      <c r="FB370" s="188"/>
      <c r="FC370" s="244"/>
      <c r="FD370" s="245"/>
    </row>
    <row r="371" spans="1:160" ht="12" hidden="1">
      <c r="A371" s="156">
        <f t="shared" si="127"/>
        <v>1</v>
      </c>
      <c r="DD371" s="82" t="s">
        <v>14</v>
      </c>
      <c r="DE371" s="82"/>
      <c r="DF371" s="82"/>
      <c r="DG371" s="82"/>
      <c r="DH371" s="82"/>
      <c r="DI371" s="82"/>
      <c r="DJ371" s="82"/>
      <c r="DK371" s="82"/>
      <c r="DL371" s="82"/>
      <c r="DM371" s="82"/>
      <c r="DN371" s="82"/>
      <c r="DO371" s="82"/>
      <c r="DP371" s="82"/>
      <c r="DQ371" s="87"/>
      <c r="DR371" s="87"/>
      <c r="DS371" s="87"/>
      <c r="DT371" s="87"/>
      <c r="DU371" s="87"/>
      <c r="DV371" s="87"/>
      <c r="DW371" s="87"/>
      <c r="DX371" s="87"/>
      <c r="DY371" s="87"/>
      <c r="DZ371" s="87"/>
      <c r="EA371" s="87"/>
      <c r="EB371" s="296"/>
      <c r="EC371" s="87"/>
      <c r="ED371" s="496"/>
      <c r="EE371" s="496"/>
      <c r="EF371" s="83"/>
      <c r="EG371" s="496"/>
      <c r="EH371" s="496"/>
      <c r="EI371" s="83"/>
      <c r="EJ371" s="83"/>
      <c r="EK371" s="496"/>
      <c r="EL371" s="496"/>
      <c r="EM371" s="83"/>
      <c r="EN371" s="190"/>
      <c r="EO371" s="190"/>
      <c r="EP371" s="190"/>
      <c r="EQ371" s="190"/>
      <c r="ER371" s="385"/>
      <c r="ES371" s="385"/>
      <c r="ET371" s="496"/>
      <c r="EU371" s="496"/>
      <c r="EV371" s="188"/>
      <c r="EW371" s="188"/>
      <c r="EX371" s="188"/>
      <c r="EY371" s="188"/>
      <c r="EZ371" s="188"/>
      <c r="FA371" s="188"/>
      <c r="FB371" s="188"/>
      <c r="FC371" s="244"/>
      <c r="FD371" s="245"/>
    </row>
    <row r="372" spans="1:160" ht="12" hidden="1">
      <c r="A372" s="156">
        <f t="shared" si="127"/>
        <v>1</v>
      </c>
      <c r="DD372" s="82" t="s">
        <v>14</v>
      </c>
      <c r="DE372" s="82"/>
      <c r="DF372" s="82"/>
      <c r="DG372" s="82"/>
      <c r="DH372" s="82"/>
      <c r="DI372" s="82"/>
      <c r="DJ372" s="82"/>
      <c r="DK372" s="82"/>
      <c r="DL372" s="82"/>
      <c r="DM372" s="82"/>
      <c r="DN372" s="82"/>
      <c r="DO372" s="82"/>
      <c r="DP372" s="82"/>
      <c r="DQ372" s="87"/>
      <c r="DR372" s="87"/>
      <c r="DS372" s="87"/>
      <c r="DT372" s="87"/>
      <c r="DU372" s="87"/>
      <c r="DV372" s="87"/>
      <c r="DW372" s="87"/>
      <c r="DX372" s="87"/>
      <c r="DY372" s="87"/>
      <c r="DZ372" s="87"/>
      <c r="EA372" s="87"/>
      <c r="EB372" s="296"/>
      <c r="EC372" s="87"/>
      <c r="ED372" s="496"/>
      <c r="EE372" s="496"/>
      <c r="EF372" s="83"/>
      <c r="EG372" s="496"/>
      <c r="EH372" s="496"/>
      <c r="EI372" s="83"/>
      <c r="EJ372" s="83"/>
      <c r="EK372" s="496"/>
      <c r="EL372" s="496"/>
      <c r="EM372" s="83"/>
      <c r="EN372" s="190"/>
      <c r="EO372" s="190"/>
      <c r="EP372" s="190"/>
      <c r="EQ372" s="190"/>
      <c r="ER372" s="385"/>
      <c r="ES372" s="385"/>
      <c r="ET372" s="496"/>
      <c r="EU372" s="496"/>
      <c r="EV372" s="188"/>
      <c r="EW372" s="188"/>
      <c r="EX372" s="188"/>
      <c r="EY372" s="188"/>
      <c r="EZ372" s="188"/>
      <c r="FA372" s="188"/>
      <c r="FB372" s="188"/>
      <c r="FC372" s="244"/>
      <c r="FD372" s="245"/>
    </row>
    <row r="373" spans="1:160" ht="12" hidden="1">
      <c r="A373" s="156">
        <f t="shared" si="127"/>
        <v>1</v>
      </c>
      <c r="DD373" s="82" t="s">
        <v>14</v>
      </c>
      <c r="DE373" s="82"/>
      <c r="DF373" s="82"/>
      <c r="DG373" s="82"/>
      <c r="DH373" s="82"/>
      <c r="DI373" s="82"/>
      <c r="DJ373" s="82"/>
      <c r="DK373" s="82"/>
      <c r="DL373" s="82"/>
      <c r="DM373" s="82"/>
      <c r="DN373" s="82"/>
      <c r="DO373" s="82"/>
      <c r="DP373" s="82"/>
      <c r="DQ373" s="87"/>
      <c r="DR373" s="87"/>
      <c r="DS373" s="87"/>
      <c r="DT373" s="87"/>
      <c r="DU373" s="87"/>
      <c r="DV373" s="87"/>
      <c r="DW373" s="87"/>
      <c r="DX373" s="87"/>
      <c r="DY373" s="87"/>
      <c r="DZ373" s="87"/>
      <c r="EA373" s="87"/>
      <c r="EB373" s="296"/>
      <c r="EC373" s="87"/>
      <c r="ED373" s="496"/>
      <c r="EE373" s="496"/>
      <c r="EF373" s="83"/>
      <c r="EG373" s="496"/>
      <c r="EH373" s="496"/>
      <c r="EI373" s="83"/>
      <c r="EJ373" s="83"/>
      <c r="EK373" s="496"/>
      <c r="EL373" s="496"/>
      <c r="EM373" s="83"/>
      <c r="EN373" s="190"/>
      <c r="EO373" s="190"/>
      <c r="EP373" s="190"/>
      <c r="EQ373" s="190"/>
      <c r="ER373" s="385"/>
      <c r="ES373" s="385"/>
      <c r="ET373" s="496"/>
      <c r="EU373" s="496"/>
      <c r="EV373" s="188"/>
      <c r="EW373" s="188"/>
      <c r="EX373" s="188"/>
      <c r="EY373" s="188"/>
      <c r="EZ373" s="188"/>
      <c r="FA373" s="188"/>
      <c r="FB373" s="188"/>
      <c r="FC373" s="244"/>
      <c r="FD373" s="245"/>
    </row>
    <row r="374" spans="1:160" ht="12" hidden="1">
      <c r="A374" s="156">
        <f t="shared" si="127"/>
        <v>1</v>
      </c>
      <c r="DD374" s="82" t="s">
        <v>14</v>
      </c>
      <c r="DE374" s="82"/>
      <c r="DF374" s="82"/>
      <c r="DG374" s="82"/>
      <c r="DH374" s="82"/>
      <c r="DI374" s="82"/>
      <c r="DJ374" s="82"/>
      <c r="DK374" s="82"/>
      <c r="DL374" s="82"/>
      <c r="DM374" s="82"/>
      <c r="DN374" s="82"/>
      <c r="DO374" s="82"/>
      <c r="DP374" s="82"/>
      <c r="DQ374" s="87"/>
      <c r="DR374" s="87"/>
      <c r="DS374" s="87"/>
      <c r="DT374" s="87"/>
      <c r="DU374" s="87"/>
      <c r="DV374" s="87"/>
      <c r="DW374" s="87"/>
      <c r="DX374" s="87"/>
      <c r="DY374" s="87"/>
      <c r="DZ374" s="87"/>
      <c r="EA374" s="87"/>
      <c r="EB374" s="296"/>
      <c r="EC374" s="87"/>
      <c r="ED374" s="496"/>
      <c r="EE374" s="496"/>
      <c r="EF374" s="83"/>
      <c r="EG374" s="496"/>
      <c r="EH374" s="496"/>
      <c r="EI374" s="83"/>
      <c r="EJ374" s="83"/>
      <c r="EK374" s="496"/>
      <c r="EL374" s="496"/>
      <c r="EM374" s="83"/>
      <c r="EN374" s="190"/>
      <c r="EO374" s="190"/>
      <c r="EP374" s="190"/>
      <c r="EQ374" s="190"/>
      <c r="ER374" s="385"/>
      <c r="ES374" s="385"/>
      <c r="ET374" s="496"/>
      <c r="EU374" s="496"/>
      <c r="EV374" s="188"/>
      <c r="EW374" s="188"/>
      <c r="EX374" s="188"/>
      <c r="EY374" s="188"/>
      <c r="EZ374" s="188"/>
      <c r="FA374" s="188"/>
      <c r="FB374" s="188"/>
      <c r="FC374" s="244"/>
      <c r="FD374" s="245"/>
    </row>
    <row r="375" spans="1:160" ht="12" hidden="1">
      <c r="A375" s="156">
        <f t="shared" si="127"/>
        <v>1</v>
      </c>
      <c r="DD375" s="82" t="s">
        <v>14</v>
      </c>
      <c r="DE375" s="82"/>
      <c r="DF375" s="82"/>
      <c r="DG375" s="82"/>
      <c r="DH375" s="82"/>
      <c r="DI375" s="82"/>
      <c r="DJ375" s="82"/>
      <c r="DK375" s="82"/>
      <c r="DL375" s="82"/>
      <c r="DM375" s="82"/>
      <c r="DN375" s="82"/>
      <c r="DO375" s="82"/>
      <c r="DP375" s="82"/>
      <c r="DQ375" s="87"/>
      <c r="DR375" s="87"/>
      <c r="DS375" s="87"/>
      <c r="DT375" s="87"/>
      <c r="DU375" s="87"/>
      <c r="DV375" s="87"/>
      <c r="DW375" s="87"/>
      <c r="DX375" s="87"/>
      <c r="DY375" s="87"/>
      <c r="DZ375" s="87"/>
      <c r="EA375" s="87"/>
      <c r="EB375" s="296"/>
      <c r="EC375" s="87"/>
      <c r="ED375" s="496"/>
      <c r="EE375" s="496"/>
      <c r="EF375" s="83"/>
      <c r="EG375" s="496"/>
      <c r="EH375" s="496"/>
      <c r="EI375" s="83"/>
      <c r="EJ375" s="83"/>
      <c r="EK375" s="496"/>
      <c r="EL375" s="496"/>
      <c r="EM375" s="83"/>
      <c r="EN375" s="190"/>
      <c r="EO375" s="190"/>
      <c r="EP375" s="190"/>
      <c r="EQ375" s="190"/>
      <c r="ER375" s="385"/>
      <c r="ES375" s="385"/>
      <c r="ET375" s="496"/>
      <c r="EU375" s="496"/>
      <c r="EV375" s="188"/>
      <c r="EW375" s="188"/>
      <c r="EX375" s="188"/>
      <c r="EY375" s="188"/>
      <c r="EZ375" s="188"/>
      <c r="FA375" s="188"/>
      <c r="FB375" s="188"/>
      <c r="FC375" s="244"/>
      <c r="FD375" s="245"/>
    </row>
    <row r="376" spans="1:160" ht="12" hidden="1">
      <c r="A376" s="156">
        <f t="shared" si="127"/>
        <v>1</v>
      </c>
      <c r="DD376" s="82" t="s">
        <v>14</v>
      </c>
      <c r="DE376" s="82"/>
      <c r="DF376" s="82"/>
      <c r="DG376" s="82"/>
      <c r="DH376" s="82"/>
      <c r="DI376" s="82"/>
      <c r="DJ376" s="82"/>
      <c r="DK376" s="82"/>
      <c r="DL376" s="82"/>
      <c r="DM376" s="82"/>
      <c r="DN376" s="82"/>
      <c r="DO376" s="82"/>
      <c r="DP376" s="82"/>
      <c r="DQ376" s="87"/>
      <c r="DR376" s="87"/>
      <c r="DS376" s="87"/>
      <c r="DT376" s="87"/>
      <c r="DU376" s="87"/>
      <c r="DV376" s="87"/>
      <c r="DW376" s="87"/>
      <c r="DX376" s="87"/>
      <c r="DY376" s="87"/>
      <c r="DZ376" s="87"/>
      <c r="EA376" s="87"/>
      <c r="EB376" s="296"/>
      <c r="EC376" s="87"/>
      <c r="ED376" s="496"/>
      <c r="EE376" s="496"/>
      <c r="EF376" s="83"/>
      <c r="EG376" s="496"/>
      <c r="EH376" s="496"/>
      <c r="EI376" s="83"/>
      <c r="EJ376" s="83"/>
      <c r="EK376" s="496"/>
      <c r="EL376" s="496"/>
      <c r="EM376" s="83"/>
      <c r="EN376" s="190"/>
      <c r="EO376" s="190"/>
      <c r="EP376" s="190"/>
      <c r="EQ376" s="190"/>
      <c r="ER376" s="385"/>
      <c r="ES376" s="385"/>
      <c r="ET376" s="496"/>
      <c r="EU376" s="496"/>
      <c r="EV376" s="188"/>
      <c r="EW376" s="188"/>
      <c r="EX376" s="188"/>
      <c r="EY376" s="188"/>
      <c r="EZ376" s="188"/>
      <c r="FA376" s="188"/>
      <c r="FB376" s="188"/>
      <c r="FC376" s="244"/>
      <c r="FD376" s="245"/>
    </row>
    <row r="377" spans="1:160" ht="12" hidden="1">
      <c r="A377" s="156">
        <f t="shared" si="127"/>
        <v>1</v>
      </c>
      <c r="DD377" s="82" t="s">
        <v>14</v>
      </c>
      <c r="DE377" s="82"/>
      <c r="DF377" s="82"/>
      <c r="DG377" s="82"/>
      <c r="DH377" s="82"/>
      <c r="DI377" s="82"/>
      <c r="DJ377" s="82"/>
      <c r="DK377" s="82"/>
      <c r="DL377" s="82"/>
      <c r="DM377" s="82"/>
      <c r="DN377" s="82"/>
      <c r="DO377" s="82"/>
      <c r="DP377" s="82"/>
      <c r="DQ377" s="192"/>
      <c r="DR377" s="192"/>
      <c r="DS377" s="192"/>
      <c r="DT377" s="192"/>
      <c r="DU377" s="192"/>
      <c r="DV377" s="192"/>
      <c r="DW377" s="192"/>
      <c r="DX377" s="192"/>
      <c r="DY377" s="192"/>
      <c r="DZ377" s="192"/>
      <c r="EA377" s="192"/>
      <c r="EB377" s="297"/>
      <c r="EC377" s="192"/>
      <c r="ED377" s="497"/>
      <c r="EE377" s="497"/>
      <c r="EF377" s="191"/>
      <c r="EG377" s="497"/>
      <c r="EH377" s="497"/>
      <c r="EI377" s="191"/>
      <c r="EJ377" s="191"/>
      <c r="EK377" s="497"/>
      <c r="EL377" s="497"/>
      <c r="EM377" s="191"/>
      <c r="EN377" s="193"/>
      <c r="EO377" s="193"/>
      <c r="EP377" s="193"/>
      <c r="EQ377" s="193"/>
      <c r="ER377" s="390"/>
      <c r="ES377" s="390"/>
      <c r="ET377" s="497"/>
      <c r="EU377" s="497"/>
      <c r="EV377" s="189"/>
      <c r="EW377" s="189"/>
      <c r="EX377" s="189"/>
      <c r="EY377" s="189"/>
      <c r="EZ377" s="189"/>
      <c r="FA377" s="189"/>
      <c r="FB377" s="189"/>
      <c r="FC377" s="244"/>
      <c r="FD377" s="245"/>
    </row>
    <row r="378" spans="1:160" ht="12" hidden="1">
      <c r="A378" s="156">
        <f t="shared" si="127"/>
        <v>1</v>
      </c>
      <c r="DD378" s="87"/>
      <c r="DE378" s="87"/>
      <c r="DF378" s="87"/>
      <c r="DG378" s="87"/>
      <c r="DH378" s="87"/>
      <c r="DI378" s="87"/>
      <c r="DJ378" s="87"/>
      <c r="DK378" s="87"/>
      <c r="DL378" s="87"/>
      <c r="DM378" s="87"/>
      <c r="DN378" s="87"/>
      <c r="DO378" s="87"/>
      <c r="DP378" s="87"/>
      <c r="DQ378" s="87"/>
      <c r="DR378" s="87"/>
      <c r="DS378" s="87"/>
      <c r="DT378" s="87"/>
      <c r="DU378" s="87"/>
      <c r="DV378" s="87"/>
      <c r="DW378" s="87"/>
      <c r="DX378" s="87"/>
      <c r="DY378" s="87"/>
      <c r="DZ378" s="87"/>
      <c r="EA378" s="87"/>
      <c r="EB378" s="81"/>
      <c r="EC378" s="87"/>
      <c r="ED378" s="496"/>
      <c r="EE378" s="496"/>
      <c r="EF378" s="83"/>
      <c r="EG378" s="496"/>
      <c r="EH378" s="496"/>
      <c r="EI378" s="83"/>
      <c r="EJ378" s="83"/>
      <c r="EK378" s="496"/>
      <c r="EL378" s="496"/>
      <c r="EM378" s="83"/>
      <c r="EN378" s="190"/>
      <c r="EO378" s="190"/>
      <c r="EP378" s="190"/>
      <c r="EQ378" s="190"/>
      <c r="ER378" s="387">
        <f>ER344</f>
        <v>43858</v>
      </c>
      <c r="ES378" s="388"/>
      <c r="ET378" s="190"/>
      <c r="EU378" s="190"/>
      <c r="EV378" s="190"/>
      <c r="EW378" s="190"/>
      <c r="EX378" s="190"/>
      <c r="EY378" s="190"/>
      <c r="EZ378" s="190"/>
      <c r="FA378" s="190"/>
      <c r="FB378" s="190"/>
      <c r="FC378" s="246"/>
      <c r="FD378" s="247"/>
    </row>
    <row r="379" ht="12" hidden="1">
      <c r="A379" s="156">
        <f t="shared" si="127"/>
        <v>1</v>
      </c>
    </row>
    <row r="380" spans="1:180" ht="12" hidden="1">
      <c r="A380" s="156">
        <f t="shared" si="127"/>
        <v>1</v>
      </c>
      <c r="DD380" s="118" t="str">
        <f>P109</f>
        <v>IMPOSTE SOSTITUTIVE</v>
      </c>
      <c r="DE380" s="119"/>
      <c r="DF380" s="119"/>
      <c r="DG380" s="119"/>
      <c r="DH380" s="119"/>
      <c r="DI380" s="119"/>
      <c r="DJ380" s="119"/>
      <c r="DK380" s="119"/>
      <c r="DL380" s="119"/>
      <c r="DM380" s="119"/>
      <c r="DN380" s="119"/>
      <c r="DO380" s="119"/>
      <c r="DP380" s="120"/>
      <c r="DQ380" s="397" t="s">
        <v>32</v>
      </c>
      <c r="DR380" s="397"/>
      <c r="DS380" s="52" t="s">
        <v>33</v>
      </c>
      <c r="DT380" s="397" t="s">
        <v>34</v>
      </c>
      <c r="DU380" s="397"/>
      <c r="DV380" s="52" t="s">
        <v>48</v>
      </c>
      <c r="DW380" s="52" t="s">
        <v>33</v>
      </c>
      <c r="DX380" s="397" t="s">
        <v>36</v>
      </c>
      <c r="DY380" s="397"/>
      <c r="DZ380" s="52" t="s">
        <v>33</v>
      </c>
      <c r="EA380" s="4" t="s">
        <v>49</v>
      </c>
      <c r="EB380" s="4" t="s">
        <v>49</v>
      </c>
      <c r="EC380" s="4" t="s">
        <v>49</v>
      </c>
      <c r="ED380" s="397" t="s">
        <v>32</v>
      </c>
      <c r="EE380" s="397"/>
      <c r="EF380" s="52" t="s">
        <v>33</v>
      </c>
      <c r="EG380" s="397" t="s">
        <v>34</v>
      </c>
      <c r="EH380" s="397"/>
      <c r="EI380" s="52" t="s">
        <v>48</v>
      </c>
      <c r="EJ380" s="52" t="s">
        <v>33</v>
      </c>
      <c r="EK380" s="397" t="s">
        <v>36</v>
      </c>
      <c r="EL380" s="397"/>
      <c r="EM380" s="52" t="s">
        <v>33</v>
      </c>
      <c r="EN380" s="397" t="s">
        <v>37</v>
      </c>
      <c r="EO380" s="397"/>
      <c r="EP380" s="397" t="s">
        <v>38</v>
      </c>
      <c r="EQ380" s="397"/>
      <c r="ER380" s="397" t="s">
        <v>38</v>
      </c>
      <c r="ES380" s="397"/>
      <c r="ET380" s="397" t="s">
        <v>38</v>
      </c>
      <c r="EU380" s="397"/>
      <c r="EV380" s="395">
        <f>EX380-1</f>
        <v>2018</v>
      </c>
      <c r="EW380" s="395"/>
      <c r="EX380" s="395">
        <f>EZ380-1</f>
        <v>2019</v>
      </c>
      <c r="EY380" s="395"/>
      <c r="EZ380" s="395">
        <f>EZ346</f>
        <v>2020</v>
      </c>
      <c r="FA380" s="395"/>
      <c r="FB380" s="52" t="s">
        <v>39</v>
      </c>
      <c r="FC380" s="242"/>
      <c r="FD380" s="243"/>
      <c r="FE380" s="5">
        <f>FE176</f>
        <v>31</v>
      </c>
      <c r="FF380" s="5">
        <f>FF176</f>
        <v>10</v>
      </c>
      <c r="FG380" s="396">
        <f>FG142</f>
        <v>2020</v>
      </c>
      <c r="FH380" s="396"/>
      <c r="FI380" s="5"/>
      <c r="FJ380" s="5"/>
      <c r="FK380" s="5"/>
      <c r="FL380" s="159" t="s">
        <v>124</v>
      </c>
      <c r="FM380" s="5"/>
      <c r="FN380" s="5"/>
      <c r="FO380" s="5"/>
      <c r="FP380" s="5">
        <f>FP142</f>
        <v>31</v>
      </c>
      <c r="FQ380" s="5">
        <f>FQ142</f>
        <v>10</v>
      </c>
      <c r="FR380" s="396">
        <f>FR142</f>
        <v>2019</v>
      </c>
      <c r="FS380" s="396"/>
      <c r="FT380" s="5"/>
      <c r="FU380" s="5"/>
      <c r="FV380" s="5"/>
      <c r="FW380" s="5"/>
      <c r="FX380" s="5"/>
    </row>
    <row r="381" spans="1:180" ht="12" hidden="1">
      <c r="A381" s="156">
        <f t="shared" si="127"/>
        <v>1</v>
      </c>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5"/>
      <c r="EO381" s="5"/>
      <c r="EP381" s="5"/>
      <c r="EQ381" s="5"/>
      <c r="ER381" s="5"/>
      <c r="ES381" s="5"/>
      <c r="ET381" s="5"/>
      <c r="EU381" s="5"/>
      <c r="EV381" s="5"/>
      <c r="EW381" s="5"/>
      <c r="EX381" s="5"/>
      <c r="EY381" s="5"/>
      <c r="EZ381" s="5"/>
      <c r="FA381" s="5"/>
      <c r="FB381" s="5"/>
      <c r="FC381" s="242"/>
      <c r="FD381" s="243"/>
      <c r="FE381" s="5"/>
      <c r="FF381" s="5"/>
      <c r="FG381" s="5"/>
      <c r="FH381" s="5"/>
      <c r="FI381" s="5"/>
      <c r="FJ381" s="5"/>
      <c r="FK381" s="5"/>
      <c r="FL381" s="5"/>
      <c r="FM381" s="5"/>
      <c r="FN381" s="5"/>
      <c r="FO381" s="5"/>
      <c r="FP381" s="5"/>
      <c r="FQ381" s="5"/>
      <c r="FR381" s="5"/>
      <c r="FS381" s="5"/>
      <c r="FT381" s="5"/>
      <c r="FU381" s="5"/>
      <c r="FV381" s="5"/>
      <c r="FW381" s="5"/>
      <c r="FX381" s="5"/>
    </row>
    <row r="382" spans="1:180" ht="12" hidden="1">
      <c r="A382" s="156">
        <f t="shared" si="127"/>
        <v>1</v>
      </c>
      <c r="DD382" s="59" t="s">
        <v>283</v>
      </c>
      <c r="DE382" s="59"/>
      <c r="DF382" s="59"/>
      <c r="DG382" s="59"/>
      <c r="DH382" s="59"/>
      <c r="DI382" s="59"/>
      <c r="DJ382" s="59"/>
      <c r="DK382" s="59"/>
      <c r="DL382" s="59"/>
      <c r="DM382" s="59"/>
      <c r="DN382" s="59"/>
      <c r="DO382" s="59"/>
      <c r="DP382" s="59"/>
      <c r="DQ382" s="386" t="str">
        <f aca="true" t="shared" si="128" ref="DQ382:DQ408">LEFT(DD382,4)</f>
        <v>1790</v>
      </c>
      <c r="DR382" s="386"/>
      <c r="DS382" s="60">
        <v>2</v>
      </c>
      <c r="DT382" s="386">
        <v>8913</v>
      </c>
      <c r="DU382" s="386"/>
      <c r="DV382" s="60">
        <v>1</v>
      </c>
      <c r="DW382" s="60">
        <v>2</v>
      </c>
      <c r="DX382" s="386">
        <v>1992</v>
      </c>
      <c r="DY382" s="386"/>
      <c r="DZ382" s="60">
        <v>2</v>
      </c>
      <c r="EA382" s="61">
        <f>EA144</f>
        <v>1</v>
      </c>
      <c r="EB382" s="61">
        <f>EB144</f>
        <v>1</v>
      </c>
      <c r="EC382" s="61">
        <f aca="true" t="shared" si="129" ref="EC382:EC392">IF(M107=DQ382,1,0)*EA382*EB382</f>
        <v>0</v>
      </c>
      <c r="ED382" s="386">
        <f aca="true" t="shared" si="130" ref="ED382:ED392">DQ382*EC382</f>
        <v>0</v>
      </c>
      <c r="EE382" s="386"/>
      <c r="EF382" s="60">
        <f aca="true" t="shared" si="131" ref="EF382:EF392">DS382*EC382</f>
        <v>0</v>
      </c>
      <c r="EG382" s="386">
        <f aca="true" t="shared" si="132" ref="EG382:EG392">DT382*EC382</f>
        <v>0</v>
      </c>
      <c r="EH382" s="386"/>
      <c r="EI382" s="60">
        <f aca="true" t="shared" si="133" ref="EI382:EI392">DV382*EC382</f>
        <v>0</v>
      </c>
      <c r="EJ382" s="60">
        <f aca="true" t="shared" si="134" ref="EJ382:EJ392">DW382*EC382</f>
        <v>0</v>
      </c>
      <c r="EK382" s="386">
        <f aca="true" t="shared" si="135" ref="EK382:EK392">DX382*EC382</f>
        <v>0</v>
      </c>
      <c r="EL382" s="386"/>
      <c r="EM382" s="60">
        <f aca="true" t="shared" si="136" ref="EM382:EM392">DZ382*EC382</f>
        <v>0</v>
      </c>
      <c r="EN382" s="386">
        <f>EC382*9999</f>
        <v>0</v>
      </c>
      <c r="EO382" s="386"/>
      <c r="EP382" s="386">
        <f>IF(ER382&lt;&gt;0,EC382*ER382,0)</f>
        <v>0</v>
      </c>
      <c r="EQ382" s="386"/>
      <c r="ER382" s="385">
        <f>ER348</f>
        <v>0</v>
      </c>
      <c r="ES382" s="385"/>
      <c r="ET382" s="386">
        <f aca="true" t="shared" si="137" ref="ET382:ET392">EC382*ER382</f>
        <v>0</v>
      </c>
      <c r="EU382" s="386"/>
      <c r="EV382" s="82"/>
      <c r="EW382" s="82"/>
      <c r="EX382" s="82"/>
      <c r="EY382" s="82"/>
      <c r="EZ382" s="82"/>
      <c r="FA382" s="82"/>
      <c r="FB382" s="82"/>
      <c r="FC382" s="381">
        <f aca="true" t="shared" si="138" ref="FC382:FC392">12*EC382</f>
        <v>0</v>
      </c>
      <c r="FD382" s="382"/>
      <c r="FE382" s="55">
        <v>4</v>
      </c>
      <c r="FF382" s="159" t="s">
        <v>55</v>
      </c>
      <c r="FG382" s="5"/>
      <c r="FH382" s="5"/>
      <c r="FI382" s="5"/>
      <c r="FJ382" s="5"/>
      <c r="FK382" s="5"/>
      <c r="FL382" s="5"/>
      <c r="FM382" s="5"/>
      <c r="FN382" s="5"/>
      <c r="FO382" s="5"/>
      <c r="FP382" s="5"/>
      <c r="FQ382" s="5"/>
      <c r="FR382" s="5"/>
      <c r="FS382" s="5"/>
      <c r="FT382" s="5"/>
      <c r="FU382" s="5"/>
      <c r="FV382" s="5"/>
      <c r="FW382" s="5"/>
      <c r="FX382" s="5"/>
    </row>
    <row r="383" spans="1:180" ht="12" hidden="1">
      <c r="A383" s="156">
        <f t="shared" si="127"/>
        <v>1</v>
      </c>
      <c r="DD383" s="59" t="s">
        <v>284</v>
      </c>
      <c r="DE383" s="59"/>
      <c r="DF383" s="59"/>
      <c r="DG383" s="59"/>
      <c r="DH383" s="59"/>
      <c r="DI383" s="59"/>
      <c r="DJ383" s="59"/>
      <c r="DK383" s="59"/>
      <c r="DL383" s="59"/>
      <c r="DM383" s="59"/>
      <c r="DN383" s="59"/>
      <c r="DO383" s="59"/>
      <c r="DP383" s="59"/>
      <c r="DQ383" s="386" t="str">
        <f t="shared" si="128"/>
        <v>1791</v>
      </c>
      <c r="DR383" s="386"/>
      <c r="DS383" s="60">
        <v>2</v>
      </c>
      <c r="DT383" s="386">
        <v>8913</v>
      </c>
      <c r="DU383" s="386"/>
      <c r="DV383" s="60">
        <v>1</v>
      </c>
      <c r="DW383" s="60">
        <v>2</v>
      </c>
      <c r="DX383" s="386">
        <v>1992</v>
      </c>
      <c r="DY383" s="386"/>
      <c r="DZ383" s="60">
        <v>2</v>
      </c>
      <c r="EA383" s="61">
        <f aca="true" t="shared" si="139" ref="EA383:EA392">EA382</f>
        <v>1</v>
      </c>
      <c r="EB383" s="61">
        <f aca="true" t="shared" si="140" ref="EB383:EB392">EB382</f>
        <v>1</v>
      </c>
      <c r="EC383" s="61">
        <f t="shared" si="129"/>
        <v>0</v>
      </c>
      <c r="ED383" s="386">
        <f t="shared" si="130"/>
        <v>0</v>
      </c>
      <c r="EE383" s="386"/>
      <c r="EF383" s="60">
        <f t="shared" si="131"/>
        <v>0</v>
      </c>
      <c r="EG383" s="386">
        <f t="shared" si="132"/>
        <v>0</v>
      </c>
      <c r="EH383" s="386"/>
      <c r="EI383" s="60">
        <f t="shared" si="133"/>
        <v>0</v>
      </c>
      <c r="EJ383" s="60">
        <f t="shared" si="134"/>
        <v>0</v>
      </c>
      <c r="EK383" s="386">
        <f t="shared" si="135"/>
        <v>0</v>
      </c>
      <c r="EL383" s="386"/>
      <c r="EM383" s="60">
        <f t="shared" si="136"/>
        <v>0</v>
      </c>
      <c r="EN383" s="386">
        <v>0</v>
      </c>
      <c r="EO383" s="386"/>
      <c r="EP383" s="386">
        <f>IF(ER383&lt;&gt;0,EC383*ER383,0)</f>
        <v>0</v>
      </c>
      <c r="EQ383" s="386"/>
      <c r="ER383" s="385">
        <f aca="true" t="shared" si="141" ref="ER383:ER392">ER382</f>
        <v>0</v>
      </c>
      <c r="ES383" s="385"/>
      <c r="ET383" s="386">
        <f t="shared" si="137"/>
        <v>0</v>
      </c>
      <c r="EU383" s="386"/>
      <c r="EV383" s="82"/>
      <c r="EW383" s="82"/>
      <c r="EX383" s="82"/>
      <c r="EY383" s="82"/>
      <c r="EZ383" s="82"/>
      <c r="FA383" s="82"/>
      <c r="FB383" s="82"/>
      <c r="FC383" s="381">
        <f t="shared" si="138"/>
        <v>0</v>
      </c>
      <c r="FD383" s="382"/>
      <c r="FE383" s="55">
        <v>3</v>
      </c>
      <c r="FF383" s="159" t="s">
        <v>59</v>
      </c>
      <c r="FG383" s="5"/>
      <c r="FH383" s="5"/>
      <c r="FI383" s="5"/>
      <c r="FJ383" s="5"/>
      <c r="FK383" s="5"/>
      <c r="FL383" s="5"/>
      <c r="FM383" s="5"/>
      <c r="FN383" s="5"/>
      <c r="FO383" s="5"/>
      <c r="FP383" s="5"/>
      <c r="FQ383" s="5"/>
      <c r="FR383" s="5"/>
      <c r="FS383" s="5"/>
      <c r="FT383" s="5"/>
      <c r="FU383" s="5"/>
      <c r="FV383" s="5"/>
      <c r="FW383" s="5"/>
      <c r="FX383" s="5"/>
    </row>
    <row r="384" spans="1:180" ht="12" hidden="1">
      <c r="A384" s="156">
        <f t="shared" si="127"/>
        <v>1</v>
      </c>
      <c r="DD384" s="59" t="s">
        <v>285</v>
      </c>
      <c r="DE384" s="59"/>
      <c r="DF384" s="59"/>
      <c r="DG384" s="59"/>
      <c r="DH384" s="59"/>
      <c r="DI384" s="59"/>
      <c r="DJ384" s="59"/>
      <c r="DK384" s="59"/>
      <c r="DL384" s="59"/>
      <c r="DM384" s="59"/>
      <c r="DN384" s="59"/>
      <c r="DO384" s="59"/>
      <c r="DP384" s="59"/>
      <c r="DQ384" s="386" t="str">
        <f t="shared" si="128"/>
        <v>1792</v>
      </c>
      <c r="DR384" s="386"/>
      <c r="DS384" s="60">
        <v>2</v>
      </c>
      <c r="DT384" s="386">
        <v>8913</v>
      </c>
      <c r="DU384" s="386"/>
      <c r="DV384" s="60">
        <v>1</v>
      </c>
      <c r="DW384" s="60">
        <v>2</v>
      </c>
      <c r="DX384" s="386">
        <v>1992</v>
      </c>
      <c r="DY384" s="386"/>
      <c r="DZ384" s="60">
        <v>2</v>
      </c>
      <c r="EA384" s="61">
        <f t="shared" si="139"/>
        <v>1</v>
      </c>
      <c r="EB384" s="61">
        <f t="shared" si="140"/>
        <v>1</v>
      </c>
      <c r="EC384" s="61">
        <f t="shared" si="129"/>
        <v>0</v>
      </c>
      <c r="ED384" s="386">
        <f t="shared" si="130"/>
        <v>0</v>
      </c>
      <c r="EE384" s="386"/>
      <c r="EF384" s="60">
        <f t="shared" si="131"/>
        <v>0</v>
      </c>
      <c r="EG384" s="386">
        <f t="shared" si="132"/>
        <v>0</v>
      </c>
      <c r="EH384" s="386"/>
      <c r="EI384" s="60">
        <f t="shared" si="133"/>
        <v>0</v>
      </c>
      <c r="EJ384" s="60">
        <f t="shared" si="134"/>
        <v>0</v>
      </c>
      <c r="EK384" s="386">
        <f t="shared" si="135"/>
        <v>0</v>
      </c>
      <c r="EL384" s="386"/>
      <c r="EM384" s="60">
        <f t="shared" si="136"/>
        <v>0</v>
      </c>
      <c r="EN384" s="386">
        <f>EC384*9999</f>
        <v>0</v>
      </c>
      <c r="EO384" s="386"/>
      <c r="EP384" s="386">
        <f>IF(ER384&lt;&gt;0,EC384*(ER384-1),0)</f>
        <v>0</v>
      </c>
      <c r="EQ384" s="386"/>
      <c r="ER384" s="385">
        <f t="shared" si="141"/>
        <v>0</v>
      </c>
      <c r="ES384" s="385"/>
      <c r="ET384" s="386">
        <f t="shared" si="137"/>
        <v>0</v>
      </c>
      <c r="EU384" s="386"/>
      <c r="EV384" s="82"/>
      <c r="EW384" s="82"/>
      <c r="EX384" s="82"/>
      <c r="EY384" s="82"/>
      <c r="EZ384" s="82"/>
      <c r="FA384" s="82"/>
      <c r="FB384" s="82"/>
      <c r="FC384" s="381">
        <f t="shared" si="138"/>
        <v>0</v>
      </c>
      <c r="FD384" s="382"/>
      <c r="FE384" s="55">
        <v>2</v>
      </c>
      <c r="FF384" s="159" t="s">
        <v>62</v>
      </c>
      <c r="FG384" s="5"/>
      <c r="FH384" s="5"/>
      <c r="FI384" s="5"/>
      <c r="FJ384" s="5"/>
      <c r="FK384" s="5"/>
      <c r="FL384" s="5"/>
      <c r="FM384" s="5"/>
      <c r="FN384" s="5"/>
      <c r="FO384" s="5"/>
      <c r="FP384" s="5"/>
      <c r="FQ384" s="5"/>
      <c r="FR384" s="5"/>
      <c r="FS384" s="5"/>
      <c r="FT384" s="5"/>
      <c r="FU384" s="5"/>
      <c r="FV384" s="5"/>
      <c r="FW384" s="5"/>
      <c r="FX384" s="5"/>
    </row>
    <row r="385" spans="1:180" ht="12" hidden="1">
      <c r="A385" s="156">
        <f t="shared" si="127"/>
        <v>1</v>
      </c>
      <c r="DD385" s="59" t="s">
        <v>286</v>
      </c>
      <c r="DE385" s="59"/>
      <c r="DF385" s="59"/>
      <c r="DG385" s="59"/>
      <c r="DH385" s="59"/>
      <c r="DI385" s="59"/>
      <c r="DJ385" s="59"/>
      <c r="DK385" s="59"/>
      <c r="DL385" s="59"/>
      <c r="DM385" s="59"/>
      <c r="DN385" s="59"/>
      <c r="DO385" s="59"/>
      <c r="DP385" s="59"/>
      <c r="DQ385" s="386" t="str">
        <f t="shared" si="128"/>
        <v>1793</v>
      </c>
      <c r="DR385" s="386"/>
      <c r="DS385" s="60">
        <v>2</v>
      </c>
      <c r="DT385" s="386">
        <v>8913</v>
      </c>
      <c r="DU385" s="386"/>
      <c r="DV385" s="60">
        <v>1</v>
      </c>
      <c r="DW385" s="60">
        <v>2</v>
      </c>
      <c r="DX385" s="386">
        <v>1992</v>
      </c>
      <c r="DY385" s="386"/>
      <c r="DZ385" s="60">
        <v>2</v>
      </c>
      <c r="EA385" s="61">
        <f t="shared" si="139"/>
        <v>1</v>
      </c>
      <c r="EB385" s="61">
        <f t="shared" si="140"/>
        <v>1</v>
      </c>
      <c r="EC385" s="61">
        <f t="shared" si="129"/>
        <v>0</v>
      </c>
      <c r="ED385" s="386">
        <f t="shared" si="130"/>
        <v>0</v>
      </c>
      <c r="EE385" s="386"/>
      <c r="EF385" s="60">
        <f t="shared" si="131"/>
        <v>0</v>
      </c>
      <c r="EG385" s="386">
        <f t="shared" si="132"/>
        <v>0</v>
      </c>
      <c r="EH385" s="386"/>
      <c r="EI385" s="60">
        <f t="shared" si="133"/>
        <v>0</v>
      </c>
      <c r="EJ385" s="60">
        <f t="shared" si="134"/>
        <v>0</v>
      </c>
      <c r="EK385" s="386">
        <f t="shared" si="135"/>
        <v>0</v>
      </c>
      <c r="EL385" s="386"/>
      <c r="EM385" s="60">
        <f t="shared" si="136"/>
        <v>0</v>
      </c>
      <c r="EN385" s="386">
        <f>EC385*9999</f>
        <v>0</v>
      </c>
      <c r="EO385" s="386"/>
      <c r="EP385" s="386">
        <f>IF(ER385&lt;&gt;0,EC385*ER385,0)</f>
        <v>0</v>
      </c>
      <c r="EQ385" s="386"/>
      <c r="ER385" s="385">
        <f t="shared" si="141"/>
        <v>0</v>
      </c>
      <c r="ES385" s="385"/>
      <c r="ET385" s="386">
        <f t="shared" si="137"/>
        <v>0</v>
      </c>
      <c r="EU385" s="386"/>
      <c r="EV385" s="82"/>
      <c r="EW385" s="82"/>
      <c r="EX385" s="82"/>
      <c r="EY385" s="82"/>
      <c r="EZ385" s="82"/>
      <c r="FA385" s="82"/>
      <c r="FB385" s="82"/>
      <c r="FC385" s="381">
        <f t="shared" si="138"/>
        <v>0</v>
      </c>
      <c r="FD385" s="382"/>
      <c r="FE385" s="55">
        <v>1</v>
      </c>
      <c r="FF385" s="159" t="s">
        <v>65</v>
      </c>
      <c r="FG385" s="5"/>
      <c r="FH385" s="5"/>
      <c r="FI385" s="5"/>
      <c r="FJ385" s="5"/>
      <c r="FK385" s="5"/>
      <c r="FL385" s="5"/>
      <c r="FM385" s="5"/>
      <c r="FN385" s="5"/>
      <c r="FO385" s="5"/>
      <c r="FP385" s="5"/>
      <c r="FQ385" s="5"/>
      <c r="FR385" s="5"/>
      <c r="FS385" s="5"/>
      <c r="FT385" s="5"/>
      <c r="FU385" s="5"/>
      <c r="FV385" s="5"/>
      <c r="FW385" s="5"/>
      <c r="FX385" s="5"/>
    </row>
    <row r="386" spans="1:180" ht="12" hidden="1">
      <c r="A386" s="156">
        <f t="shared" si="127"/>
        <v>1</v>
      </c>
      <c r="DD386" s="59" t="s">
        <v>287</v>
      </c>
      <c r="DE386" s="59"/>
      <c r="DF386" s="59"/>
      <c r="DG386" s="59"/>
      <c r="DH386" s="59"/>
      <c r="DI386" s="59"/>
      <c r="DJ386" s="59"/>
      <c r="DK386" s="59"/>
      <c r="DL386" s="59"/>
      <c r="DM386" s="59"/>
      <c r="DN386" s="59"/>
      <c r="DO386" s="59"/>
      <c r="DP386" s="59"/>
      <c r="DQ386" s="386" t="str">
        <f t="shared" si="128"/>
        <v>1794</v>
      </c>
      <c r="DR386" s="386"/>
      <c r="DS386" s="60">
        <v>2</v>
      </c>
      <c r="DT386" s="386">
        <v>8913</v>
      </c>
      <c r="DU386" s="386"/>
      <c r="DV386" s="60">
        <v>1</v>
      </c>
      <c r="DW386" s="60">
        <v>2</v>
      </c>
      <c r="DX386" s="386">
        <v>1992</v>
      </c>
      <c r="DY386" s="386"/>
      <c r="DZ386" s="60">
        <v>2</v>
      </c>
      <c r="EA386" s="61">
        <f t="shared" si="139"/>
        <v>1</v>
      </c>
      <c r="EB386" s="61">
        <f t="shared" si="140"/>
        <v>1</v>
      </c>
      <c r="EC386" s="61">
        <f t="shared" si="129"/>
        <v>0</v>
      </c>
      <c r="ED386" s="386">
        <f t="shared" si="130"/>
        <v>0</v>
      </c>
      <c r="EE386" s="386"/>
      <c r="EF386" s="60">
        <f t="shared" si="131"/>
        <v>0</v>
      </c>
      <c r="EG386" s="386">
        <f t="shared" si="132"/>
        <v>0</v>
      </c>
      <c r="EH386" s="386"/>
      <c r="EI386" s="60">
        <f t="shared" si="133"/>
        <v>0</v>
      </c>
      <c r="EJ386" s="60">
        <f t="shared" si="134"/>
        <v>0</v>
      </c>
      <c r="EK386" s="386">
        <f t="shared" si="135"/>
        <v>0</v>
      </c>
      <c r="EL386" s="386"/>
      <c r="EM386" s="60">
        <f t="shared" si="136"/>
        <v>0</v>
      </c>
      <c r="EN386" s="386">
        <v>0</v>
      </c>
      <c r="EO386" s="386"/>
      <c r="EP386" s="386">
        <f>IF(ER386&lt;&gt;0,EC386*ER386,0)</f>
        <v>0</v>
      </c>
      <c r="EQ386" s="386"/>
      <c r="ER386" s="385">
        <f t="shared" si="141"/>
        <v>0</v>
      </c>
      <c r="ES386" s="385"/>
      <c r="ET386" s="386">
        <f t="shared" si="137"/>
        <v>0</v>
      </c>
      <c r="EU386" s="386"/>
      <c r="EV386" s="82"/>
      <c r="EW386" s="82"/>
      <c r="EX386" s="82"/>
      <c r="EY386" s="82"/>
      <c r="EZ386" s="82"/>
      <c r="FA386" s="82"/>
      <c r="FB386" s="82"/>
      <c r="FC386" s="381">
        <f t="shared" si="138"/>
        <v>0</v>
      </c>
      <c r="FD386" s="382"/>
      <c r="FE386" s="394">
        <f>FE148</f>
        <v>44165</v>
      </c>
      <c r="FF386" s="394"/>
      <c r="FG386" s="394"/>
      <c r="FH386" s="394"/>
      <c r="FI386" s="159" t="s">
        <v>68</v>
      </c>
      <c r="FJ386" s="5"/>
      <c r="FK386" s="5"/>
      <c r="FL386" s="5"/>
      <c r="FM386" s="5"/>
      <c r="FN386" s="5"/>
      <c r="FO386" s="5"/>
      <c r="FP386" s="5"/>
      <c r="FQ386" s="5"/>
      <c r="FR386" s="5"/>
      <c r="FS386" s="5"/>
      <c r="FT386" s="5"/>
      <c r="FU386" s="5"/>
      <c r="FV386" s="5"/>
      <c r="FW386" s="5"/>
      <c r="FX386" s="5"/>
    </row>
    <row r="387" spans="1:180" ht="12" hidden="1">
      <c r="A387" s="156">
        <f t="shared" si="127"/>
        <v>1</v>
      </c>
      <c r="DD387" s="59" t="s">
        <v>288</v>
      </c>
      <c r="DE387" s="59"/>
      <c r="DF387" s="59"/>
      <c r="DG387" s="59"/>
      <c r="DH387" s="59"/>
      <c r="DI387" s="59"/>
      <c r="DJ387" s="59"/>
      <c r="DK387" s="59"/>
      <c r="DL387" s="59"/>
      <c r="DM387" s="59"/>
      <c r="DN387" s="59"/>
      <c r="DO387" s="59"/>
      <c r="DP387" s="59"/>
      <c r="DQ387" s="386" t="str">
        <f t="shared" si="128"/>
        <v>1795</v>
      </c>
      <c r="DR387" s="386"/>
      <c r="DS387" s="60">
        <v>2</v>
      </c>
      <c r="DT387" s="386">
        <v>8913</v>
      </c>
      <c r="DU387" s="386"/>
      <c r="DV387" s="60">
        <v>1</v>
      </c>
      <c r="DW387" s="60">
        <v>2</v>
      </c>
      <c r="DX387" s="386">
        <v>1992</v>
      </c>
      <c r="DY387" s="386"/>
      <c r="DZ387" s="60">
        <v>2</v>
      </c>
      <c r="EA387" s="61">
        <f t="shared" si="139"/>
        <v>1</v>
      </c>
      <c r="EB387" s="61">
        <f t="shared" si="140"/>
        <v>1</v>
      </c>
      <c r="EC387" s="61">
        <f t="shared" si="129"/>
        <v>0</v>
      </c>
      <c r="ED387" s="386">
        <f t="shared" si="130"/>
        <v>0</v>
      </c>
      <c r="EE387" s="386"/>
      <c r="EF387" s="60">
        <f t="shared" si="131"/>
        <v>0</v>
      </c>
      <c r="EG387" s="386">
        <f t="shared" si="132"/>
        <v>0</v>
      </c>
      <c r="EH387" s="386"/>
      <c r="EI387" s="60">
        <f t="shared" si="133"/>
        <v>0</v>
      </c>
      <c r="EJ387" s="60">
        <f t="shared" si="134"/>
        <v>0</v>
      </c>
      <c r="EK387" s="386">
        <f t="shared" si="135"/>
        <v>0</v>
      </c>
      <c r="EL387" s="386"/>
      <c r="EM387" s="60">
        <f t="shared" si="136"/>
        <v>0</v>
      </c>
      <c r="EN387" s="386">
        <f>EC387*9999</f>
        <v>0</v>
      </c>
      <c r="EO387" s="386"/>
      <c r="EP387" s="386">
        <f>IF(ER387&lt;&gt;0,EC387*(ER387-1),0)</f>
        <v>0</v>
      </c>
      <c r="EQ387" s="386"/>
      <c r="ER387" s="385">
        <f t="shared" si="141"/>
        <v>0</v>
      </c>
      <c r="ES387" s="385"/>
      <c r="ET387" s="386">
        <f t="shared" si="137"/>
        <v>0</v>
      </c>
      <c r="EU387" s="386"/>
      <c r="EV387" s="82"/>
      <c r="EW387" s="82"/>
      <c r="EX387" s="82"/>
      <c r="EY387" s="82"/>
      <c r="EZ387" s="82"/>
      <c r="FA387" s="82"/>
      <c r="FB387" s="82"/>
      <c r="FC387" s="381">
        <f t="shared" si="138"/>
        <v>0</v>
      </c>
      <c r="FD387" s="382"/>
      <c r="FE387" s="394">
        <f>FE149</f>
        <v>44256</v>
      </c>
      <c r="FF387" s="394"/>
      <c r="FG387" s="394"/>
      <c r="FH387" s="394"/>
      <c r="FI387" s="159" t="s">
        <v>132</v>
      </c>
      <c r="FJ387" s="5"/>
      <c r="FK387" s="5"/>
      <c r="FL387" s="5"/>
      <c r="FM387" s="5"/>
      <c r="FN387" s="5"/>
      <c r="FO387" s="5"/>
      <c r="FP387" s="5"/>
      <c r="FQ387" s="5"/>
      <c r="FR387" s="5"/>
      <c r="FS387" s="5"/>
      <c r="FT387" s="5"/>
      <c r="FU387" s="5"/>
      <c r="FV387" s="5"/>
      <c r="FW387" s="5"/>
      <c r="FX387" s="5"/>
    </row>
    <row r="388" spans="1:180" ht="12" hidden="1">
      <c r="A388" s="156">
        <f t="shared" si="127"/>
        <v>1</v>
      </c>
      <c r="DD388" s="376" t="s">
        <v>289</v>
      </c>
      <c r="DE388" s="59"/>
      <c r="DF388" s="59"/>
      <c r="DG388" s="59"/>
      <c r="DH388" s="59"/>
      <c r="DI388" s="59"/>
      <c r="DJ388" s="59"/>
      <c r="DK388" s="59"/>
      <c r="DL388" s="59"/>
      <c r="DM388" s="59"/>
      <c r="DN388" s="59"/>
      <c r="DO388" s="59"/>
      <c r="DP388" s="59"/>
      <c r="DQ388" s="386" t="str">
        <f t="shared" si="128"/>
        <v>1816</v>
      </c>
      <c r="DR388" s="386"/>
      <c r="DS388" s="60">
        <v>2</v>
      </c>
      <c r="DT388" s="386">
        <v>8913</v>
      </c>
      <c r="DU388" s="386"/>
      <c r="DV388" s="60">
        <v>1</v>
      </c>
      <c r="DW388" s="60">
        <v>2</v>
      </c>
      <c r="DX388" s="386">
        <v>1992</v>
      </c>
      <c r="DY388" s="386"/>
      <c r="DZ388" s="60">
        <v>2</v>
      </c>
      <c r="EA388" s="61">
        <f t="shared" si="139"/>
        <v>1</v>
      </c>
      <c r="EB388" s="61">
        <f t="shared" si="140"/>
        <v>1</v>
      </c>
      <c r="EC388" s="61">
        <f t="shared" si="129"/>
        <v>0</v>
      </c>
      <c r="ED388" s="386">
        <f t="shared" si="130"/>
        <v>0</v>
      </c>
      <c r="EE388" s="386"/>
      <c r="EF388" s="60">
        <f t="shared" si="131"/>
        <v>0</v>
      </c>
      <c r="EG388" s="386">
        <f t="shared" si="132"/>
        <v>0</v>
      </c>
      <c r="EH388" s="386"/>
      <c r="EI388" s="60">
        <f t="shared" si="133"/>
        <v>0</v>
      </c>
      <c r="EJ388" s="60">
        <f t="shared" si="134"/>
        <v>0</v>
      </c>
      <c r="EK388" s="386">
        <f t="shared" si="135"/>
        <v>0</v>
      </c>
      <c r="EL388" s="386"/>
      <c r="EM388" s="60">
        <f t="shared" si="136"/>
        <v>0</v>
      </c>
      <c r="EN388" s="386">
        <v>0</v>
      </c>
      <c r="EO388" s="386"/>
      <c r="EP388" s="386">
        <f>IF(ER388&lt;&gt;0,EC388*(ER388-1),0)</f>
        <v>0</v>
      </c>
      <c r="EQ388" s="386"/>
      <c r="ER388" s="385">
        <f t="shared" si="141"/>
        <v>0</v>
      </c>
      <c r="ES388" s="385"/>
      <c r="ET388" s="386">
        <f t="shared" si="137"/>
        <v>0</v>
      </c>
      <c r="EU388" s="386"/>
      <c r="EV388" s="82"/>
      <c r="EW388" s="82"/>
      <c r="EX388" s="172"/>
      <c r="EY388" s="172"/>
      <c r="EZ388" s="172"/>
      <c r="FA388" s="172"/>
      <c r="FB388" s="172"/>
      <c r="FC388" s="381">
        <f t="shared" si="138"/>
        <v>0</v>
      </c>
      <c r="FD388" s="382"/>
      <c r="FE388" s="5"/>
      <c r="FF388" s="5"/>
      <c r="FG388" s="5"/>
      <c r="FH388" s="5"/>
      <c r="FI388" s="5"/>
      <c r="FJ388" s="5"/>
      <c r="FK388" s="5"/>
      <c r="FL388" s="5"/>
      <c r="FM388" s="5"/>
      <c r="FN388" s="5"/>
      <c r="FO388" s="5"/>
      <c r="FP388" s="5"/>
      <c r="FQ388" s="5"/>
      <c r="FR388" s="5"/>
      <c r="FS388" s="5"/>
      <c r="FT388" s="5"/>
      <c r="FU388" s="5"/>
      <c r="FV388" s="5"/>
      <c r="FW388" s="5"/>
      <c r="FX388" s="5"/>
    </row>
    <row r="389" spans="1:180" ht="12" hidden="1">
      <c r="A389" s="156">
        <f t="shared" si="127"/>
        <v>1</v>
      </c>
      <c r="DD389" s="59" t="s">
        <v>290</v>
      </c>
      <c r="DE389" s="59"/>
      <c r="DF389" s="59"/>
      <c r="DG389" s="59"/>
      <c r="DH389" s="59"/>
      <c r="DI389" s="59"/>
      <c r="DJ389" s="59"/>
      <c r="DK389" s="59"/>
      <c r="DL389" s="59"/>
      <c r="DM389" s="59"/>
      <c r="DN389" s="59"/>
      <c r="DO389" s="59"/>
      <c r="DP389" s="59"/>
      <c r="DQ389" s="386" t="str">
        <f t="shared" si="128"/>
        <v>1840</v>
      </c>
      <c r="DR389" s="386"/>
      <c r="DS389" s="60">
        <v>2</v>
      </c>
      <c r="DT389" s="386">
        <v>8913</v>
      </c>
      <c r="DU389" s="386"/>
      <c r="DV389" s="60">
        <v>1</v>
      </c>
      <c r="DW389" s="60">
        <v>2</v>
      </c>
      <c r="DX389" s="386">
        <v>1992</v>
      </c>
      <c r="DY389" s="386"/>
      <c r="DZ389" s="60">
        <v>2</v>
      </c>
      <c r="EA389" s="61">
        <f t="shared" si="139"/>
        <v>1</v>
      </c>
      <c r="EB389" s="61">
        <f t="shared" si="140"/>
        <v>1</v>
      </c>
      <c r="EC389" s="61">
        <f t="shared" si="129"/>
        <v>0</v>
      </c>
      <c r="ED389" s="386">
        <f t="shared" si="130"/>
        <v>0</v>
      </c>
      <c r="EE389" s="386"/>
      <c r="EF389" s="60">
        <f t="shared" si="131"/>
        <v>0</v>
      </c>
      <c r="EG389" s="386">
        <f t="shared" si="132"/>
        <v>0</v>
      </c>
      <c r="EH389" s="386"/>
      <c r="EI389" s="60">
        <f t="shared" si="133"/>
        <v>0</v>
      </c>
      <c r="EJ389" s="60">
        <f t="shared" si="134"/>
        <v>0</v>
      </c>
      <c r="EK389" s="386">
        <f t="shared" si="135"/>
        <v>0</v>
      </c>
      <c r="EL389" s="386"/>
      <c r="EM389" s="60">
        <f t="shared" si="136"/>
        <v>0</v>
      </c>
      <c r="EN389" s="386">
        <f>EC389*9999</f>
        <v>0</v>
      </c>
      <c r="EO389" s="386"/>
      <c r="EP389" s="386">
        <f>IF(ER389&lt;&gt;0,EC389*ER389,0)</f>
        <v>0</v>
      </c>
      <c r="EQ389" s="386"/>
      <c r="ER389" s="385">
        <f t="shared" si="141"/>
        <v>0</v>
      </c>
      <c r="ES389" s="385"/>
      <c r="ET389" s="386">
        <f t="shared" si="137"/>
        <v>0</v>
      </c>
      <c r="EU389" s="386"/>
      <c r="EV389" s="82"/>
      <c r="EW389" s="82"/>
      <c r="EX389" s="172"/>
      <c r="EY389" s="172"/>
      <c r="EZ389" s="172"/>
      <c r="FA389" s="172"/>
      <c r="FB389" s="172"/>
      <c r="FC389" s="381">
        <f t="shared" si="138"/>
        <v>0</v>
      </c>
      <c r="FD389" s="382"/>
      <c r="FE389" s="5"/>
      <c r="FF389" s="5"/>
      <c r="FG389" s="5"/>
      <c r="FH389" s="5"/>
      <c r="FI389" s="5"/>
      <c r="FJ389" s="5"/>
      <c r="FK389" s="5"/>
      <c r="FL389" s="5"/>
      <c r="FM389" s="5"/>
      <c r="FN389" s="5"/>
      <c r="FO389" s="5"/>
      <c r="FP389" s="5"/>
      <c r="FQ389" s="5"/>
      <c r="FR389" s="5"/>
      <c r="FS389" s="5"/>
      <c r="FT389" s="5"/>
      <c r="FU389" s="5"/>
      <c r="FV389" s="5"/>
      <c r="FW389" s="5"/>
      <c r="FX389" s="5"/>
    </row>
    <row r="390" spans="1:180" ht="12" hidden="1">
      <c r="A390" s="156">
        <f t="shared" si="127"/>
        <v>1</v>
      </c>
      <c r="DD390" s="59" t="s">
        <v>291</v>
      </c>
      <c r="DE390" s="59"/>
      <c r="DF390" s="59"/>
      <c r="DG390" s="59"/>
      <c r="DH390" s="59"/>
      <c r="DI390" s="59"/>
      <c r="DJ390" s="59"/>
      <c r="DK390" s="59"/>
      <c r="DL390" s="59"/>
      <c r="DM390" s="59"/>
      <c r="DN390" s="59"/>
      <c r="DO390" s="59"/>
      <c r="DP390" s="59"/>
      <c r="DQ390" s="386" t="str">
        <f t="shared" si="128"/>
        <v>1841</v>
      </c>
      <c r="DR390" s="386"/>
      <c r="DS390" s="60">
        <v>2</v>
      </c>
      <c r="DT390" s="386">
        <v>8913</v>
      </c>
      <c r="DU390" s="386"/>
      <c r="DV390" s="60">
        <v>1</v>
      </c>
      <c r="DW390" s="60">
        <v>2</v>
      </c>
      <c r="DX390" s="386">
        <v>1992</v>
      </c>
      <c r="DY390" s="386"/>
      <c r="DZ390" s="60">
        <v>2</v>
      </c>
      <c r="EA390" s="61">
        <f t="shared" si="139"/>
        <v>1</v>
      </c>
      <c r="EB390" s="61">
        <f t="shared" si="140"/>
        <v>1</v>
      </c>
      <c r="EC390" s="61">
        <f t="shared" si="129"/>
        <v>0</v>
      </c>
      <c r="ED390" s="386">
        <f t="shared" si="130"/>
        <v>0</v>
      </c>
      <c r="EE390" s="386"/>
      <c r="EF390" s="60">
        <f t="shared" si="131"/>
        <v>0</v>
      </c>
      <c r="EG390" s="386">
        <f t="shared" si="132"/>
        <v>0</v>
      </c>
      <c r="EH390" s="386"/>
      <c r="EI390" s="60">
        <f t="shared" si="133"/>
        <v>0</v>
      </c>
      <c r="EJ390" s="60">
        <f t="shared" si="134"/>
        <v>0</v>
      </c>
      <c r="EK390" s="386">
        <f t="shared" si="135"/>
        <v>0</v>
      </c>
      <c r="EL390" s="386"/>
      <c r="EM390" s="60">
        <f t="shared" si="136"/>
        <v>0</v>
      </c>
      <c r="EN390" s="386">
        <v>0</v>
      </c>
      <c r="EO390" s="386"/>
      <c r="EP390" s="386">
        <f>IF(ER390&lt;&gt;0,EC390*ER390,0)</f>
        <v>0</v>
      </c>
      <c r="EQ390" s="386"/>
      <c r="ER390" s="385">
        <f t="shared" si="141"/>
        <v>0</v>
      </c>
      <c r="ES390" s="385"/>
      <c r="ET390" s="386">
        <f t="shared" si="137"/>
        <v>0</v>
      </c>
      <c r="EU390" s="386"/>
      <c r="EV390" s="82"/>
      <c r="EW390" s="82"/>
      <c r="EX390" s="172"/>
      <c r="EY390" s="172"/>
      <c r="EZ390" s="172"/>
      <c r="FA390" s="172"/>
      <c r="FB390" s="172"/>
      <c r="FC390" s="381">
        <f t="shared" si="138"/>
        <v>0</v>
      </c>
      <c r="FD390" s="382"/>
      <c r="FE390" s="5"/>
      <c r="FF390" s="5"/>
      <c r="FG390" s="5"/>
      <c r="FH390" s="5"/>
      <c r="FI390" s="5"/>
      <c r="FJ390" s="5"/>
      <c r="FK390" s="5"/>
      <c r="FL390" s="5"/>
      <c r="FM390" s="5"/>
      <c r="FN390" s="5"/>
      <c r="FO390" s="5"/>
      <c r="FP390" s="5"/>
      <c r="FQ390" s="5"/>
      <c r="FR390" s="5"/>
      <c r="FS390" s="5"/>
      <c r="FT390" s="5"/>
      <c r="FU390" s="5"/>
      <c r="FV390" s="5"/>
      <c r="FW390" s="5"/>
      <c r="FX390" s="5"/>
    </row>
    <row r="391" spans="1:180" ht="12" hidden="1">
      <c r="A391" s="156">
        <f t="shared" si="127"/>
        <v>1</v>
      </c>
      <c r="DD391" s="59" t="s">
        <v>292</v>
      </c>
      <c r="DE391" s="59"/>
      <c r="DF391" s="59"/>
      <c r="DG391" s="59"/>
      <c r="DH391" s="59"/>
      <c r="DI391" s="59"/>
      <c r="DJ391" s="59"/>
      <c r="DK391" s="59"/>
      <c r="DL391" s="59"/>
      <c r="DM391" s="59"/>
      <c r="DN391" s="59"/>
      <c r="DO391" s="59"/>
      <c r="DP391" s="59"/>
      <c r="DQ391" s="386" t="str">
        <f t="shared" si="128"/>
        <v>1842</v>
      </c>
      <c r="DR391" s="386"/>
      <c r="DS391" s="60">
        <v>2</v>
      </c>
      <c r="DT391" s="386">
        <v>8913</v>
      </c>
      <c r="DU391" s="386"/>
      <c r="DV391" s="60">
        <v>1</v>
      </c>
      <c r="DW391" s="60">
        <v>2</v>
      </c>
      <c r="DX391" s="386">
        <v>1992</v>
      </c>
      <c r="DY391" s="386"/>
      <c r="DZ391" s="60">
        <v>2</v>
      </c>
      <c r="EA391" s="61">
        <f t="shared" si="139"/>
        <v>1</v>
      </c>
      <c r="EB391" s="61">
        <f t="shared" si="140"/>
        <v>1</v>
      </c>
      <c r="EC391" s="61">
        <f t="shared" si="129"/>
        <v>0</v>
      </c>
      <c r="ED391" s="386">
        <f t="shared" si="130"/>
        <v>0</v>
      </c>
      <c r="EE391" s="386"/>
      <c r="EF391" s="60">
        <f t="shared" si="131"/>
        <v>0</v>
      </c>
      <c r="EG391" s="386">
        <f t="shared" si="132"/>
        <v>0</v>
      </c>
      <c r="EH391" s="386"/>
      <c r="EI391" s="60">
        <f t="shared" si="133"/>
        <v>0</v>
      </c>
      <c r="EJ391" s="60">
        <f t="shared" si="134"/>
        <v>0</v>
      </c>
      <c r="EK391" s="386">
        <f t="shared" si="135"/>
        <v>0</v>
      </c>
      <c r="EL391" s="386"/>
      <c r="EM391" s="60">
        <f t="shared" si="136"/>
        <v>0</v>
      </c>
      <c r="EN391" s="386">
        <f>EC391*9999</f>
        <v>0</v>
      </c>
      <c r="EO391" s="386"/>
      <c r="EP391" s="386">
        <f>IF(ER391&lt;&gt;0,EC391*(ER391-1),0)</f>
        <v>0</v>
      </c>
      <c r="EQ391" s="386"/>
      <c r="ER391" s="385">
        <f t="shared" si="141"/>
        <v>0</v>
      </c>
      <c r="ES391" s="385"/>
      <c r="ET391" s="386">
        <f t="shared" si="137"/>
        <v>0</v>
      </c>
      <c r="EU391" s="386"/>
      <c r="EV391" s="82"/>
      <c r="EW391" s="82"/>
      <c r="EX391" s="172"/>
      <c r="EY391" s="172"/>
      <c r="EZ391" s="172"/>
      <c r="FA391" s="172"/>
      <c r="FB391" s="172"/>
      <c r="FC391" s="381">
        <f t="shared" si="138"/>
        <v>0</v>
      </c>
      <c r="FD391" s="382"/>
      <c r="FE391" s="5"/>
      <c r="FF391" s="5"/>
      <c r="FG391" s="5"/>
      <c r="FH391" s="5"/>
      <c r="FI391" s="5"/>
      <c r="FJ391" s="5"/>
      <c r="FK391" s="5"/>
      <c r="FL391" s="5"/>
      <c r="FM391" s="5"/>
      <c r="FN391" s="5"/>
      <c r="FO391" s="5"/>
      <c r="FP391" s="5"/>
      <c r="FQ391" s="5"/>
      <c r="FR391" s="5"/>
      <c r="FS391" s="5"/>
      <c r="FT391" s="5"/>
      <c r="FU391" s="5"/>
      <c r="FV391" s="5"/>
      <c r="FW391" s="5"/>
      <c r="FX391" s="5"/>
    </row>
    <row r="392" spans="1:180" ht="12" hidden="1">
      <c r="A392" s="156">
        <f t="shared" si="127"/>
        <v>1</v>
      </c>
      <c r="DD392" s="376" t="s">
        <v>293</v>
      </c>
      <c r="DE392" s="59"/>
      <c r="DF392" s="59"/>
      <c r="DG392" s="59"/>
      <c r="DH392" s="59"/>
      <c r="DI392" s="59"/>
      <c r="DJ392" s="59"/>
      <c r="DK392" s="59"/>
      <c r="DL392" s="59"/>
      <c r="DM392" s="59"/>
      <c r="DN392" s="59"/>
      <c r="DO392" s="59"/>
      <c r="DP392" s="59"/>
      <c r="DQ392" s="384" t="str">
        <f t="shared" si="128"/>
        <v>4025</v>
      </c>
      <c r="DR392" s="384"/>
      <c r="DS392" s="170">
        <v>2</v>
      </c>
      <c r="DT392" s="384">
        <v>8913</v>
      </c>
      <c r="DU392" s="384"/>
      <c r="DV392" s="170">
        <v>1</v>
      </c>
      <c r="DW392" s="170">
        <v>2</v>
      </c>
      <c r="DX392" s="384">
        <v>1992</v>
      </c>
      <c r="DY392" s="384"/>
      <c r="DZ392" s="170">
        <v>2</v>
      </c>
      <c r="EA392" s="61">
        <f t="shared" si="139"/>
        <v>1</v>
      </c>
      <c r="EB392" s="61">
        <f t="shared" si="140"/>
        <v>1</v>
      </c>
      <c r="EC392" s="61">
        <f t="shared" si="129"/>
        <v>0</v>
      </c>
      <c r="ED392" s="384">
        <f t="shared" si="130"/>
        <v>0</v>
      </c>
      <c r="EE392" s="384"/>
      <c r="EF392" s="170">
        <f t="shared" si="131"/>
        <v>0</v>
      </c>
      <c r="EG392" s="384">
        <f t="shared" si="132"/>
        <v>0</v>
      </c>
      <c r="EH392" s="384"/>
      <c r="EI392" s="170">
        <f t="shared" si="133"/>
        <v>0</v>
      </c>
      <c r="EJ392" s="170">
        <f t="shared" si="134"/>
        <v>0</v>
      </c>
      <c r="EK392" s="384">
        <f t="shared" si="135"/>
        <v>0</v>
      </c>
      <c r="EL392" s="384"/>
      <c r="EM392" s="170">
        <f t="shared" si="136"/>
        <v>0</v>
      </c>
      <c r="EN392" s="384">
        <f>EC392*9999</f>
        <v>0</v>
      </c>
      <c r="EO392" s="384"/>
      <c r="EP392" s="384">
        <f>IF(ER392&lt;&gt;0,EC392*(ER392-1),0)</f>
        <v>0</v>
      </c>
      <c r="EQ392" s="384"/>
      <c r="ER392" s="385">
        <f t="shared" si="141"/>
        <v>0</v>
      </c>
      <c r="ES392" s="385"/>
      <c r="ET392" s="386">
        <f t="shared" si="137"/>
        <v>0</v>
      </c>
      <c r="EU392" s="386"/>
      <c r="EV392" s="82"/>
      <c r="EW392" s="82"/>
      <c r="EX392" s="82"/>
      <c r="EY392" s="82"/>
      <c r="EZ392" s="82"/>
      <c r="FA392" s="82"/>
      <c r="FB392" s="82"/>
      <c r="FC392" s="381">
        <f t="shared" si="138"/>
        <v>0</v>
      </c>
      <c r="FD392" s="382"/>
      <c r="FE392" s="5"/>
      <c r="FF392" s="5"/>
      <c r="FG392" s="5"/>
      <c r="FH392" s="5"/>
      <c r="FI392" s="5"/>
      <c r="FJ392" s="5"/>
      <c r="FK392" s="5"/>
      <c r="FL392" s="5"/>
      <c r="FM392" s="5"/>
      <c r="FN392" s="5"/>
      <c r="FO392" s="5"/>
      <c r="FP392" s="5"/>
      <c r="FQ392" s="5"/>
      <c r="FR392" s="5"/>
      <c r="FS392" s="5"/>
      <c r="FT392" s="5"/>
      <c r="FU392" s="5"/>
      <c r="FV392" s="5"/>
      <c r="FW392" s="5"/>
      <c r="FX392" s="5"/>
    </row>
    <row r="393" spans="1:180" ht="12" hidden="1">
      <c r="A393" s="156">
        <f t="shared" si="127"/>
        <v>1</v>
      </c>
      <c r="DD393" s="59" t="s">
        <v>14</v>
      </c>
      <c r="DE393" s="59"/>
      <c r="DF393" s="59"/>
      <c r="DG393" s="59"/>
      <c r="DH393" s="59"/>
      <c r="DI393" s="59"/>
      <c r="DJ393" s="59"/>
      <c r="DK393" s="59"/>
      <c r="DL393" s="59"/>
      <c r="DM393" s="59"/>
      <c r="DN393" s="59"/>
      <c r="DO393" s="59"/>
      <c r="DP393" s="59"/>
      <c r="DQ393" s="386" t="str">
        <f t="shared" si="128"/>
        <v> </v>
      </c>
      <c r="DR393" s="386"/>
      <c r="DS393" s="60"/>
      <c r="DT393" s="386"/>
      <c r="DU393" s="386"/>
      <c r="DV393" s="60"/>
      <c r="DW393" s="60"/>
      <c r="DX393" s="386"/>
      <c r="DY393" s="386"/>
      <c r="DZ393" s="60"/>
      <c r="EA393" s="61"/>
      <c r="EB393" s="61"/>
      <c r="EC393" s="61"/>
      <c r="ED393" s="386"/>
      <c r="EE393" s="386"/>
      <c r="EF393" s="60"/>
      <c r="EG393" s="386"/>
      <c r="EH393" s="386"/>
      <c r="EI393" s="60"/>
      <c r="EJ393" s="60"/>
      <c r="EK393" s="386"/>
      <c r="EL393" s="386"/>
      <c r="EM393" s="60"/>
      <c r="EN393" s="386"/>
      <c r="EO393" s="386"/>
      <c r="EP393" s="386"/>
      <c r="EQ393" s="386"/>
      <c r="ER393" s="385"/>
      <c r="ES393" s="385"/>
      <c r="ET393" s="386"/>
      <c r="EU393" s="386"/>
      <c r="EV393" s="82"/>
      <c r="EW393" s="82"/>
      <c r="EX393" s="82"/>
      <c r="EY393" s="82"/>
      <c r="EZ393" s="82"/>
      <c r="FA393" s="82"/>
      <c r="FB393" s="82"/>
      <c r="FC393" s="242"/>
      <c r="FD393" s="243"/>
      <c r="FE393" s="5"/>
      <c r="FF393" s="5"/>
      <c r="FG393" s="5"/>
      <c r="FH393" s="5"/>
      <c r="FI393" s="5"/>
      <c r="FJ393" s="5"/>
      <c r="FK393" s="5"/>
      <c r="FL393" s="5"/>
      <c r="FM393" s="5"/>
      <c r="FN393" s="5"/>
      <c r="FO393" s="5"/>
      <c r="FP393" s="5"/>
      <c r="FQ393" s="5"/>
      <c r="FR393" s="5"/>
      <c r="FS393" s="5"/>
      <c r="FT393" s="5"/>
      <c r="FU393" s="5"/>
      <c r="FV393" s="5"/>
      <c r="FW393" s="5"/>
      <c r="FX393" s="5"/>
    </row>
    <row r="394" spans="1:180" ht="12" hidden="1">
      <c r="A394" s="156">
        <f t="shared" si="127"/>
        <v>1</v>
      </c>
      <c r="DD394" s="59" t="s">
        <v>14</v>
      </c>
      <c r="DE394" s="59"/>
      <c r="DF394" s="59"/>
      <c r="DG394" s="59"/>
      <c r="DH394" s="59"/>
      <c r="DI394" s="59"/>
      <c r="DJ394" s="59"/>
      <c r="DK394" s="59"/>
      <c r="DL394" s="59"/>
      <c r="DM394" s="59"/>
      <c r="DN394" s="59"/>
      <c r="DO394" s="59"/>
      <c r="DP394" s="59"/>
      <c r="DQ394" s="386" t="str">
        <f t="shared" si="128"/>
        <v> </v>
      </c>
      <c r="DR394" s="386"/>
      <c r="DS394" s="60"/>
      <c r="DT394" s="386"/>
      <c r="DU394" s="386"/>
      <c r="DV394" s="60"/>
      <c r="DW394" s="60"/>
      <c r="DX394" s="386"/>
      <c r="DY394" s="386"/>
      <c r="DZ394" s="60"/>
      <c r="EA394" s="61"/>
      <c r="EB394" s="61"/>
      <c r="EC394" s="61"/>
      <c r="ED394" s="386"/>
      <c r="EE394" s="386"/>
      <c r="EF394" s="60"/>
      <c r="EG394" s="386"/>
      <c r="EH394" s="386"/>
      <c r="EI394" s="60"/>
      <c r="EJ394" s="60"/>
      <c r="EK394" s="386"/>
      <c r="EL394" s="386"/>
      <c r="EM394" s="60"/>
      <c r="EN394" s="386"/>
      <c r="EO394" s="386"/>
      <c r="EP394" s="386"/>
      <c r="EQ394" s="386"/>
      <c r="ER394" s="385"/>
      <c r="ES394" s="385"/>
      <c r="ET394" s="386"/>
      <c r="EU394" s="386"/>
      <c r="EV394" s="82"/>
      <c r="EW394" s="82"/>
      <c r="EX394" s="82"/>
      <c r="EY394" s="82"/>
      <c r="EZ394" s="82"/>
      <c r="FA394" s="82"/>
      <c r="FB394" s="82"/>
      <c r="FC394" s="392"/>
      <c r="FD394" s="393"/>
      <c r="FE394" s="5"/>
      <c r="FF394" s="5"/>
      <c r="FG394" s="5"/>
      <c r="FH394" s="5"/>
      <c r="FI394" s="5"/>
      <c r="FJ394" s="5"/>
      <c r="FK394" s="5"/>
      <c r="FL394" s="5"/>
      <c r="FM394" s="5"/>
      <c r="FN394" s="5"/>
      <c r="FO394" s="5"/>
      <c r="FP394" s="5"/>
      <c r="FQ394" s="5"/>
      <c r="FR394" s="5"/>
      <c r="FS394" s="5"/>
      <c r="FT394" s="5"/>
      <c r="FU394" s="5"/>
      <c r="FV394" s="5"/>
      <c r="FW394" s="5"/>
      <c r="FX394" s="5"/>
    </row>
    <row r="395" spans="1:180" ht="12" hidden="1">
      <c r="A395" s="156">
        <f t="shared" si="127"/>
        <v>1</v>
      </c>
      <c r="DD395" s="59" t="s">
        <v>14</v>
      </c>
      <c r="DE395" s="59"/>
      <c r="DF395" s="59"/>
      <c r="DG395" s="59"/>
      <c r="DH395" s="59"/>
      <c r="DI395" s="59"/>
      <c r="DJ395" s="59"/>
      <c r="DK395" s="59"/>
      <c r="DL395" s="59"/>
      <c r="DM395" s="59"/>
      <c r="DN395" s="59"/>
      <c r="DO395" s="59"/>
      <c r="DP395" s="59"/>
      <c r="DQ395" s="386" t="str">
        <f t="shared" si="128"/>
        <v> </v>
      </c>
      <c r="DR395" s="386"/>
      <c r="DS395" s="60"/>
      <c r="DT395" s="386"/>
      <c r="DU395" s="386"/>
      <c r="DV395" s="60"/>
      <c r="DW395" s="60"/>
      <c r="DX395" s="386"/>
      <c r="DY395" s="386"/>
      <c r="DZ395" s="60"/>
      <c r="EA395" s="61"/>
      <c r="EB395" s="61"/>
      <c r="EC395" s="61"/>
      <c r="ED395" s="386"/>
      <c r="EE395" s="386"/>
      <c r="EF395" s="60"/>
      <c r="EG395" s="386"/>
      <c r="EH395" s="386"/>
      <c r="EI395" s="60"/>
      <c r="EJ395" s="60"/>
      <c r="EK395" s="386"/>
      <c r="EL395" s="386"/>
      <c r="EM395" s="60"/>
      <c r="EN395" s="386"/>
      <c r="EO395" s="386"/>
      <c r="EP395" s="386"/>
      <c r="EQ395" s="386"/>
      <c r="ER395" s="385"/>
      <c r="ES395" s="385"/>
      <c r="ET395" s="386"/>
      <c r="EU395" s="386"/>
      <c r="EV395" s="82"/>
      <c r="EW395" s="82"/>
      <c r="EX395" s="82"/>
      <c r="EY395" s="82"/>
      <c r="EZ395" s="82"/>
      <c r="FA395" s="82"/>
      <c r="FB395" s="82"/>
      <c r="FC395" s="392"/>
      <c r="FD395" s="393"/>
      <c r="FE395" s="5"/>
      <c r="FF395" s="5"/>
      <c r="FG395" s="5"/>
      <c r="FH395" s="5"/>
      <c r="FI395" s="5"/>
      <c r="FJ395" s="5"/>
      <c r="FK395" s="5"/>
      <c r="FL395" s="5"/>
      <c r="FM395" s="5"/>
      <c r="FN395" s="5"/>
      <c r="FO395" s="5"/>
      <c r="FP395" s="5"/>
      <c r="FQ395" s="5"/>
      <c r="FR395" s="5"/>
      <c r="FS395" s="5"/>
      <c r="FT395" s="5"/>
      <c r="FU395" s="5"/>
      <c r="FV395" s="5"/>
      <c r="FW395" s="5"/>
      <c r="FX395" s="5"/>
    </row>
    <row r="396" spans="1:180" ht="12" hidden="1">
      <c r="A396" s="156">
        <f t="shared" si="127"/>
        <v>1</v>
      </c>
      <c r="DD396" s="59" t="s">
        <v>14</v>
      </c>
      <c r="DE396" s="59"/>
      <c r="DF396" s="59"/>
      <c r="DG396" s="59"/>
      <c r="DH396" s="59"/>
      <c r="DI396" s="59"/>
      <c r="DJ396" s="59"/>
      <c r="DK396" s="59"/>
      <c r="DL396" s="59"/>
      <c r="DM396" s="59"/>
      <c r="DN396" s="59"/>
      <c r="DO396" s="59"/>
      <c r="DP396" s="59"/>
      <c r="DQ396" s="386" t="str">
        <f t="shared" si="128"/>
        <v> </v>
      </c>
      <c r="DR396" s="386"/>
      <c r="DS396" s="60"/>
      <c r="DT396" s="386"/>
      <c r="DU396" s="386"/>
      <c r="DV396" s="60"/>
      <c r="DW396" s="60"/>
      <c r="DX396" s="386"/>
      <c r="DY396" s="386"/>
      <c r="DZ396" s="60"/>
      <c r="EA396" s="61"/>
      <c r="EB396" s="61"/>
      <c r="EC396" s="61"/>
      <c r="ED396" s="386"/>
      <c r="EE396" s="386"/>
      <c r="EF396" s="60"/>
      <c r="EG396" s="386"/>
      <c r="EH396" s="386"/>
      <c r="EI396" s="60"/>
      <c r="EJ396" s="60"/>
      <c r="EK396" s="386"/>
      <c r="EL396" s="386"/>
      <c r="EM396" s="60"/>
      <c r="EN396" s="386"/>
      <c r="EO396" s="386"/>
      <c r="EP396" s="386"/>
      <c r="EQ396" s="386"/>
      <c r="ER396" s="385"/>
      <c r="ES396" s="385"/>
      <c r="ET396" s="386"/>
      <c r="EU396" s="386"/>
      <c r="EV396" s="82"/>
      <c r="EW396" s="82"/>
      <c r="EX396" s="82"/>
      <c r="EY396" s="82"/>
      <c r="EZ396" s="82"/>
      <c r="FA396" s="82"/>
      <c r="FB396" s="82"/>
      <c r="FC396" s="392"/>
      <c r="FD396" s="393"/>
      <c r="FE396" s="5"/>
      <c r="FF396" s="5"/>
      <c r="FG396" s="5"/>
      <c r="FH396" s="5"/>
      <c r="FI396" s="5"/>
      <c r="FJ396" s="5"/>
      <c r="FK396" s="5"/>
      <c r="FL396" s="5"/>
      <c r="FM396" s="5"/>
      <c r="FN396" s="5"/>
      <c r="FO396" s="5"/>
      <c r="FP396" s="5"/>
      <c r="FQ396" s="5"/>
      <c r="FR396" s="5"/>
      <c r="FS396" s="5"/>
      <c r="FT396" s="5"/>
      <c r="FU396" s="5"/>
      <c r="FV396" s="5"/>
      <c r="FW396" s="5"/>
      <c r="FX396" s="5"/>
    </row>
    <row r="397" spans="1:180" ht="12" hidden="1">
      <c r="A397" s="156">
        <f t="shared" si="127"/>
        <v>1</v>
      </c>
      <c r="DD397" s="59" t="s">
        <v>14</v>
      </c>
      <c r="DE397" s="59"/>
      <c r="DF397" s="59"/>
      <c r="DG397" s="59"/>
      <c r="DH397" s="59"/>
      <c r="DI397" s="59"/>
      <c r="DJ397" s="59"/>
      <c r="DK397" s="59"/>
      <c r="DL397" s="59"/>
      <c r="DM397" s="59"/>
      <c r="DN397" s="59"/>
      <c r="DO397" s="59"/>
      <c r="DP397" s="59"/>
      <c r="DQ397" s="386" t="str">
        <f t="shared" si="128"/>
        <v> </v>
      </c>
      <c r="DR397" s="386"/>
      <c r="DS397" s="60"/>
      <c r="DT397" s="386"/>
      <c r="DU397" s="386"/>
      <c r="DV397" s="60"/>
      <c r="DW397" s="60"/>
      <c r="DX397" s="386"/>
      <c r="DY397" s="386"/>
      <c r="DZ397" s="60"/>
      <c r="EA397" s="61"/>
      <c r="EB397" s="61"/>
      <c r="EC397" s="61"/>
      <c r="ED397" s="386"/>
      <c r="EE397" s="386"/>
      <c r="EF397" s="60"/>
      <c r="EG397" s="386"/>
      <c r="EH397" s="386"/>
      <c r="EI397" s="60"/>
      <c r="EJ397" s="60"/>
      <c r="EK397" s="386"/>
      <c r="EL397" s="386"/>
      <c r="EM397" s="60"/>
      <c r="EN397" s="386"/>
      <c r="EO397" s="386"/>
      <c r="EP397" s="386"/>
      <c r="EQ397" s="386"/>
      <c r="ER397" s="385"/>
      <c r="ES397" s="385"/>
      <c r="ET397" s="386"/>
      <c r="EU397" s="386"/>
      <c r="EV397" s="82"/>
      <c r="EW397" s="82"/>
      <c r="EX397" s="82"/>
      <c r="EY397" s="82"/>
      <c r="EZ397" s="82"/>
      <c r="FA397" s="82"/>
      <c r="FB397" s="82"/>
      <c r="FC397" s="392"/>
      <c r="FD397" s="393"/>
      <c r="FE397" s="5"/>
      <c r="FF397" s="5"/>
      <c r="FG397" s="5"/>
      <c r="FH397" s="5"/>
      <c r="FI397" s="5"/>
      <c r="FJ397" s="5"/>
      <c r="FK397" s="5"/>
      <c r="FL397" s="5"/>
      <c r="FM397" s="5"/>
      <c r="FN397" s="5"/>
      <c r="FO397" s="5"/>
      <c r="FP397" s="5"/>
      <c r="FQ397" s="5"/>
      <c r="FR397" s="5"/>
      <c r="FS397" s="5"/>
      <c r="FT397" s="5"/>
      <c r="FU397" s="5"/>
      <c r="FV397" s="5"/>
      <c r="FW397" s="5"/>
      <c r="FX397" s="5"/>
    </row>
    <row r="398" spans="1:180" ht="12" hidden="1">
      <c r="A398" s="156">
        <f t="shared" si="127"/>
        <v>1</v>
      </c>
      <c r="DD398" s="59" t="s">
        <v>14</v>
      </c>
      <c r="DE398" s="59"/>
      <c r="DF398" s="59"/>
      <c r="DG398" s="59"/>
      <c r="DH398" s="59"/>
      <c r="DI398" s="59"/>
      <c r="DJ398" s="59"/>
      <c r="DK398" s="59"/>
      <c r="DL398" s="59"/>
      <c r="DM398" s="59"/>
      <c r="DN398" s="59"/>
      <c r="DO398" s="59"/>
      <c r="DP398" s="59"/>
      <c r="DQ398" s="386" t="str">
        <f t="shared" si="128"/>
        <v> </v>
      </c>
      <c r="DR398" s="386"/>
      <c r="DS398" s="60"/>
      <c r="DT398" s="386"/>
      <c r="DU398" s="386"/>
      <c r="DV398" s="60"/>
      <c r="DW398" s="60"/>
      <c r="DX398" s="386"/>
      <c r="DY398" s="386"/>
      <c r="DZ398" s="60"/>
      <c r="EA398" s="61"/>
      <c r="EB398" s="61"/>
      <c r="EC398" s="61"/>
      <c r="ED398" s="386"/>
      <c r="EE398" s="386"/>
      <c r="EF398" s="60"/>
      <c r="EG398" s="386"/>
      <c r="EH398" s="386"/>
      <c r="EI398" s="60"/>
      <c r="EJ398" s="60"/>
      <c r="EK398" s="386"/>
      <c r="EL398" s="386"/>
      <c r="EM398" s="60"/>
      <c r="EN398" s="386"/>
      <c r="EO398" s="386"/>
      <c r="EP398" s="386"/>
      <c r="EQ398" s="386"/>
      <c r="ER398" s="385"/>
      <c r="ES398" s="385"/>
      <c r="ET398" s="386"/>
      <c r="EU398" s="386"/>
      <c r="EV398" s="82"/>
      <c r="EW398" s="82"/>
      <c r="EX398" s="82"/>
      <c r="EY398" s="82"/>
      <c r="EZ398" s="82"/>
      <c r="FA398" s="82"/>
      <c r="FB398" s="82"/>
      <c r="FC398" s="392"/>
      <c r="FD398" s="393"/>
      <c r="FE398" s="5"/>
      <c r="FF398" s="5"/>
      <c r="FG398" s="5"/>
      <c r="FH398" s="5"/>
      <c r="FI398" s="5"/>
      <c r="FJ398" s="5"/>
      <c r="FK398" s="5"/>
      <c r="FL398" s="5"/>
      <c r="FM398" s="5"/>
      <c r="FN398" s="5"/>
      <c r="FO398" s="5"/>
      <c r="FP398" s="5"/>
      <c r="FQ398" s="5"/>
      <c r="FR398" s="5"/>
      <c r="FS398" s="5"/>
      <c r="FT398" s="5"/>
      <c r="FU398" s="5"/>
      <c r="FV398" s="5"/>
      <c r="FW398" s="5"/>
      <c r="FX398" s="5"/>
    </row>
    <row r="399" spans="1:180" ht="12" hidden="1">
      <c r="A399" s="156">
        <f t="shared" si="127"/>
        <v>1</v>
      </c>
      <c r="DD399" s="59" t="s">
        <v>14</v>
      </c>
      <c r="DE399" s="59"/>
      <c r="DF399" s="59"/>
      <c r="DG399" s="59"/>
      <c r="DH399" s="59"/>
      <c r="DI399" s="59"/>
      <c r="DJ399" s="59"/>
      <c r="DK399" s="59"/>
      <c r="DL399" s="59"/>
      <c r="DM399" s="59"/>
      <c r="DN399" s="59"/>
      <c r="DO399" s="59"/>
      <c r="DP399" s="59"/>
      <c r="DQ399" s="386" t="str">
        <f t="shared" si="128"/>
        <v> </v>
      </c>
      <c r="DR399" s="386"/>
      <c r="DS399" s="60"/>
      <c r="DT399" s="386"/>
      <c r="DU399" s="386"/>
      <c r="DV399" s="60"/>
      <c r="DW399" s="60"/>
      <c r="DX399" s="386"/>
      <c r="DY399" s="386"/>
      <c r="DZ399" s="60"/>
      <c r="EA399" s="61"/>
      <c r="EB399" s="61"/>
      <c r="EC399" s="61"/>
      <c r="ED399" s="386"/>
      <c r="EE399" s="386"/>
      <c r="EF399" s="60"/>
      <c r="EG399" s="386"/>
      <c r="EH399" s="386"/>
      <c r="EI399" s="60"/>
      <c r="EJ399" s="60"/>
      <c r="EK399" s="386"/>
      <c r="EL399" s="386"/>
      <c r="EM399" s="60"/>
      <c r="EN399" s="386"/>
      <c r="EO399" s="386"/>
      <c r="EP399" s="386"/>
      <c r="EQ399" s="386"/>
      <c r="ER399" s="385"/>
      <c r="ES399" s="385"/>
      <c r="ET399" s="386"/>
      <c r="EU399" s="386"/>
      <c r="EV399" s="82"/>
      <c r="EW399" s="82"/>
      <c r="EX399" s="82"/>
      <c r="EY399" s="82"/>
      <c r="EZ399" s="82"/>
      <c r="FA399" s="82"/>
      <c r="FB399" s="82"/>
      <c r="FC399" s="392"/>
      <c r="FD399" s="393"/>
      <c r="FE399" s="5"/>
      <c r="FF399" s="5"/>
      <c r="FG399" s="5"/>
      <c r="FH399" s="5"/>
      <c r="FI399" s="5"/>
      <c r="FJ399" s="5"/>
      <c r="FK399" s="5"/>
      <c r="FL399" s="5"/>
      <c r="FM399" s="5"/>
      <c r="FN399" s="5"/>
      <c r="FO399" s="5"/>
      <c r="FP399" s="5"/>
      <c r="FQ399" s="5"/>
      <c r="FR399" s="5"/>
      <c r="FS399" s="5"/>
      <c r="FT399" s="5"/>
      <c r="FU399" s="5"/>
      <c r="FV399" s="5"/>
      <c r="FW399" s="5"/>
      <c r="FX399" s="5"/>
    </row>
    <row r="400" spans="1:180" ht="12" hidden="1">
      <c r="A400" s="156">
        <f t="shared" si="127"/>
        <v>1</v>
      </c>
      <c r="DD400" s="59" t="s">
        <v>14</v>
      </c>
      <c r="DE400" s="59"/>
      <c r="DF400" s="59"/>
      <c r="DG400" s="59"/>
      <c r="DH400" s="59"/>
      <c r="DI400" s="59"/>
      <c r="DJ400" s="59"/>
      <c r="DK400" s="59"/>
      <c r="DL400" s="59"/>
      <c r="DM400" s="59"/>
      <c r="DN400" s="59"/>
      <c r="DO400" s="59"/>
      <c r="DP400" s="59"/>
      <c r="DQ400" s="386" t="str">
        <f t="shared" si="128"/>
        <v> </v>
      </c>
      <c r="DR400" s="386"/>
      <c r="DS400" s="60"/>
      <c r="DT400" s="386"/>
      <c r="DU400" s="386"/>
      <c r="DV400" s="60"/>
      <c r="DW400" s="60"/>
      <c r="DX400" s="386"/>
      <c r="DY400" s="386"/>
      <c r="DZ400" s="60"/>
      <c r="EA400" s="61"/>
      <c r="EB400" s="61"/>
      <c r="EC400" s="61"/>
      <c r="ED400" s="386"/>
      <c r="EE400" s="386"/>
      <c r="EF400" s="60"/>
      <c r="EG400" s="386"/>
      <c r="EH400" s="386"/>
      <c r="EI400" s="60"/>
      <c r="EJ400" s="60"/>
      <c r="EK400" s="386"/>
      <c r="EL400" s="386"/>
      <c r="EM400" s="60"/>
      <c r="EN400" s="386"/>
      <c r="EO400" s="386"/>
      <c r="EP400" s="386"/>
      <c r="EQ400" s="386"/>
      <c r="ER400" s="385"/>
      <c r="ES400" s="385"/>
      <c r="ET400" s="386"/>
      <c r="EU400" s="386"/>
      <c r="EV400" s="82"/>
      <c r="EW400" s="82"/>
      <c r="EX400" s="172"/>
      <c r="EY400" s="172"/>
      <c r="EZ400" s="172"/>
      <c r="FA400" s="172"/>
      <c r="FB400" s="172"/>
      <c r="FC400" s="392"/>
      <c r="FD400" s="393"/>
      <c r="FE400" s="5"/>
      <c r="FF400" s="5"/>
      <c r="FG400" s="5"/>
      <c r="FH400" s="5"/>
      <c r="FI400" s="5"/>
      <c r="FJ400" s="5"/>
      <c r="FK400" s="5"/>
      <c r="FL400" s="5"/>
      <c r="FM400" s="5"/>
      <c r="FN400" s="5"/>
      <c r="FO400" s="5"/>
      <c r="FP400" s="5"/>
      <c r="FQ400" s="5"/>
      <c r="FR400" s="5"/>
      <c r="FS400" s="5"/>
      <c r="FT400" s="5"/>
      <c r="FU400" s="5"/>
      <c r="FV400" s="5"/>
      <c r="FW400" s="5"/>
      <c r="FX400" s="5"/>
    </row>
    <row r="401" spans="1:180" ht="12" hidden="1">
      <c r="A401" s="156">
        <f t="shared" si="127"/>
        <v>1</v>
      </c>
      <c r="DD401" s="59" t="s">
        <v>14</v>
      </c>
      <c r="DE401" s="59"/>
      <c r="DF401" s="59"/>
      <c r="DG401" s="59"/>
      <c r="DH401" s="59"/>
      <c r="DI401" s="59"/>
      <c r="DJ401" s="59"/>
      <c r="DK401" s="59"/>
      <c r="DL401" s="59"/>
      <c r="DM401" s="59"/>
      <c r="DN401" s="59"/>
      <c r="DO401" s="59"/>
      <c r="DP401" s="59"/>
      <c r="DQ401" s="386" t="str">
        <f t="shared" si="128"/>
        <v> </v>
      </c>
      <c r="DR401" s="386"/>
      <c r="DS401" s="60"/>
      <c r="DT401" s="386"/>
      <c r="DU401" s="386"/>
      <c r="DV401" s="60"/>
      <c r="DW401" s="60"/>
      <c r="DX401" s="386"/>
      <c r="DY401" s="386"/>
      <c r="DZ401" s="60"/>
      <c r="EA401" s="61"/>
      <c r="EB401" s="61"/>
      <c r="EC401" s="61"/>
      <c r="ED401" s="386"/>
      <c r="EE401" s="386"/>
      <c r="EF401" s="60"/>
      <c r="EG401" s="386"/>
      <c r="EH401" s="386"/>
      <c r="EI401" s="60"/>
      <c r="EJ401" s="60"/>
      <c r="EK401" s="386"/>
      <c r="EL401" s="386"/>
      <c r="EM401" s="60"/>
      <c r="EN401" s="386"/>
      <c r="EO401" s="386"/>
      <c r="EP401" s="386"/>
      <c r="EQ401" s="386"/>
      <c r="ER401" s="385"/>
      <c r="ES401" s="385"/>
      <c r="ET401" s="386"/>
      <c r="EU401" s="386"/>
      <c r="EV401" s="82"/>
      <c r="EW401" s="82"/>
      <c r="EX401" s="172"/>
      <c r="EY401" s="172"/>
      <c r="EZ401" s="172"/>
      <c r="FA401" s="172"/>
      <c r="FB401" s="172"/>
      <c r="FC401" s="392"/>
      <c r="FD401" s="393"/>
      <c r="FE401" s="5"/>
      <c r="FF401" s="5"/>
      <c r="FG401" s="5"/>
      <c r="FH401" s="5"/>
      <c r="FI401" s="5"/>
      <c r="FJ401" s="5"/>
      <c r="FK401" s="5"/>
      <c r="FL401" s="5"/>
      <c r="FM401" s="5"/>
      <c r="FN401" s="5"/>
      <c r="FO401" s="5"/>
      <c r="FP401" s="5"/>
      <c r="FQ401" s="5"/>
      <c r="FR401" s="5"/>
      <c r="FS401" s="5"/>
      <c r="FT401" s="5"/>
      <c r="FU401" s="5"/>
      <c r="FV401" s="5"/>
      <c r="FW401" s="5"/>
      <c r="FX401" s="5"/>
    </row>
    <row r="402" spans="1:180" ht="12" hidden="1">
      <c r="A402" s="156">
        <f t="shared" si="127"/>
        <v>1</v>
      </c>
      <c r="DD402" s="59" t="s">
        <v>14</v>
      </c>
      <c r="DE402" s="59"/>
      <c r="DF402" s="59"/>
      <c r="DG402" s="59"/>
      <c r="DH402" s="59"/>
      <c r="DI402" s="59"/>
      <c r="DJ402" s="59"/>
      <c r="DK402" s="59"/>
      <c r="DL402" s="59"/>
      <c r="DM402" s="59"/>
      <c r="DN402" s="59"/>
      <c r="DO402" s="59"/>
      <c r="DP402" s="59"/>
      <c r="DQ402" s="386" t="str">
        <f t="shared" si="128"/>
        <v> </v>
      </c>
      <c r="DR402" s="386"/>
      <c r="DS402" s="60"/>
      <c r="DT402" s="386"/>
      <c r="DU402" s="386"/>
      <c r="DV402" s="60"/>
      <c r="DW402" s="60"/>
      <c r="DX402" s="386"/>
      <c r="DY402" s="386"/>
      <c r="DZ402" s="60"/>
      <c r="EA402" s="61"/>
      <c r="EB402" s="61"/>
      <c r="EC402" s="61"/>
      <c r="ED402" s="386"/>
      <c r="EE402" s="386"/>
      <c r="EF402" s="60"/>
      <c r="EG402" s="386"/>
      <c r="EH402" s="386"/>
      <c r="EI402" s="60"/>
      <c r="EJ402" s="60"/>
      <c r="EK402" s="386"/>
      <c r="EL402" s="386"/>
      <c r="EM402" s="60"/>
      <c r="EN402" s="386"/>
      <c r="EO402" s="386"/>
      <c r="EP402" s="386"/>
      <c r="EQ402" s="386"/>
      <c r="ER402" s="385"/>
      <c r="ES402" s="385"/>
      <c r="ET402" s="386"/>
      <c r="EU402" s="386"/>
      <c r="EV402" s="82"/>
      <c r="EW402" s="82"/>
      <c r="EX402" s="172"/>
      <c r="EY402" s="172"/>
      <c r="EZ402" s="172"/>
      <c r="FA402" s="172"/>
      <c r="FB402" s="172"/>
      <c r="FC402" s="392"/>
      <c r="FD402" s="393"/>
      <c r="FE402" s="5"/>
      <c r="FF402" s="5"/>
      <c r="FG402" s="5"/>
      <c r="FH402" s="5"/>
      <c r="FI402" s="5"/>
      <c r="FJ402" s="5"/>
      <c r="FK402" s="5"/>
      <c r="FL402" s="5"/>
      <c r="FM402" s="5"/>
      <c r="FN402" s="5"/>
      <c r="FO402" s="5"/>
      <c r="FP402" s="5"/>
      <c r="FQ402" s="5"/>
      <c r="FR402" s="5"/>
      <c r="FS402" s="5"/>
      <c r="FT402" s="5"/>
      <c r="FU402" s="5"/>
      <c r="FV402" s="5"/>
      <c r="FW402" s="5"/>
      <c r="FX402" s="5"/>
    </row>
    <row r="403" spans="1:180" ht="12" hidden="1">
      <c r="A403" s="156">
        <f t="shared" si="127"/>
        <v>1</v>
      </c>
      <c r="DD403" s="59" t="s">
        <v>14</v>
      </c>
      <c r="DE403" s="59"/>
      <c r="DF403" s="59"/>
      <c r="DG403" s="59"/>
      <c r="DH403" s="59"/>
      <c r="DI403" s="59"/>
      <c r="DJ403" s="59"/>
      <c r="DK403" s="59"/>
      <c r="DL403" s="59"/>
      <c r="DM403" s="59"/>
      <c r="DN403" s="59"/>
      <c r="DO403" s="59"/>
      <c r="DP403" s="59"/>
      <c r="DQ403" s="386" t="str">
        <f t="shared" si="128"/>
        <v> </v>
      </c>
      <c r="DR403" s="386"/>
      <c r="DS403" s="60"/>
      <c r="DT403" s="386"/>
      <c r="DU403" s="386"/>
      <c r="DV403" s="60"/>
      <c r="DW403" s="60"/>
      <c r="DX403" s="386"/>
      <c r="DY403" s="386"/>
      <c r="DZ403" s="60"/>
      <c r="EA403" s="61"/>
      <c r="EB403" s="61"/>
      <c r="EC403" s="61"/>
      <c r="ED403" s="386"/>
      <c r="EE403" s="386"/>
      <c r="EF403" s="60"/>
      <c r="EG403" s="386"/>
      <c r="EH403" s="386"/>
      <c r="EI403" s="60"/>
      <c r="EJ403" s="60"/>
      <c r="EK403" s="386"/>
      <c r="EL403" s="386"/>
      <c r="EM403" s="60"/>
      <c r="EN403" s="386"/>
      <c r="EO403" s="386"/>
      <c r="EP403" s="386"/>
      <c r="EQ403" s="386"/>
      <c r="ER403" s="385"/>
      <c r="ES403" s="385"/>
      <c r="ET403" s="386"/>
      <c r="EU403" s="386"/>
      <c r="EV403" s="82"/>
      <c r="EW403" s="82"/>
      <c r="EX403" s="172"/>
      <c r="EY403" s="172"/>
      <c r="EZ403" s="172"/>
      <c r="FA403" s="172"/>
      <c r="FB403" s="172"/>
      <c r="FC403" s="392"/>
      <c r="FD403" s="393"/>
      <c r="FE403" s="5"/>
      <c r="FF403" s="5"/>
      <c r="FG403" s="5"/>
      <c r="FH403" s="5"/>
      <c r="FI403" s="5"/>
      <c r="FJ403" s="5"/>
      <c r="FK403" s="5"/>
      <c r="FL403" s="5"/>
      <c r="FM403" s="5"/>
      <c r="FN403" s="5"/>
      <c r="FO403" s="5"/>
      <c r="FP403" s="5"/>
      <c r="FQ403" s="5"/>
      <c r="FR403" s="5"/>
      <c r="FS403" s="5"/>
      <c r="FT403" s="5"/>
      <c r="FU403" s="5"/>
      <c r="FV403" s="5"/>
      <c r="FW403" s="5"/>
      <c r="FX403" s="5"/>
    </row>
    <row r="404" spans="1:180" ht="12" hidden="1">
      <c r="A404" s="156">
        <f t="shared" si="127"/>
        <v>1</v>
      </c>
      <c r="DD404" s="59" t="s">
        <v>14</v>
      </c>
      <c r="DE404" s="59"/>
      <c r="DF404" s="59"/>
      <c r="DG404" s="59"/>
      <c r="DH404" s="59"/>
      <c r="DI404" s="59"/>
      <c r="DJ404" s="59"/>
      <c r="DK404" s="59"/>
      <c r="DL404" s="59"/>
      <c r="DM404" s="59"/>
      <c r="DN404" s="59"/>
      <c r="DO404" s="59"/>
      <c r="DP404" s="59"/>
      <c r="DQ404" s="384" t="str">
        <f t="shared" si="128"/>
        <v> </v>
      </c>
      <c r="DR404" s="384"/>
      <c r="DS404" s="170"/>
      <c r="DT404" s="384"/>
      <c r="DU404" s="384"/>
      <c r="DV404" s="170"/>
      <c r="DW404" s="170"/>
      <c r="DX404" s="384"/>
      <c r="DY404" s="384"/>
      <c r="DZ404" s="170"/>
      <c r="EA404" s="61"/>
      <c r="EB404" s="61"/>
      <c r="EC404" s="61"/>
      <c r="ED404" s="384"/>
      <c r="EE404" s="384"/>
      <c r="EF404" s="170"/>
      <c r="EG404" s="384"/>
      <c r="EH404" s="384"/>
      <c r="EI404" s="170"/>
      <c r="EJ404" s="170"/>
      <c r="EK404" s="384"/>
      <c r="EL404" s="384"/>
      <c r="EM404" s="170"/>
      <c r="EN404" s="384"/>
      <c r="EO404" s="384"/>
      <c r="EP404" s="386"/>
      <c r="EQ404" s="386"/>
      <c r="ER404" s="385"/>
      <c r="ES404" s="385"/>
      <c r="ET404" s="386"/>
      <c r="EU404" s="386"/>
      <c r="EV404" s="82"/>
      <c r="EW404" s="82"/>
      <c r="EX404" s="172"/>
      <c r="EY404" s="172"/>
      <c r="EZ404" s="172"/>
      <c r="FA404" s="172"/>
      <c r="FB404" s="172"/>
      <c r="FC404" s="368"/>
      <c r="FD404" s="369"/>
      <c r="FE404" s="5"/>
      <c r="FF404" s="5"/>
      <c r="FG404" s="5"/>
      <c r="FH404" s="5"/>
      <c r="FI404" s="5"/>
      <c r="FJ404" s="5"/>
      <c r="FK404" s="5"/>
      <c r="FL404" s="5"/>
      <c r="FM404" s="5"/>
      <c r="FN404" s="5"/>
      <c r="FO404" s="5"/>
      <c r="FP404" s="5"/>
      <c r="FQ404" s="5"/>
      <c r="FR404" s="5"/>
      <c r="FS404" s="5"/>
      <c r="FT404" s="5"/>
      <c r="FU404" s="5"/>
      <c r="FV404" s="5"/>
      <c r="FW404" s="5"/>
      <c r="FX404" s="5"/>
    </row>
    <row r="405" spans="1:180" ht="12" hidden="1">
      <c r="A405" s="156">
        <f t="shared" si="127"/>
        <v>1</v>
      </c>
      <c r="DD405" s="59" t="s">
        <v>14</v>
      </c>
      <c r="DE405" s="59"/>
      <c r="DF405" s="59"/>
      <c r="DG405" s="59"/>
      <c r="DH405" s="59"/>
      <c r="DI405" s="59"/>
      <c r="DJ405" s="59"/>
      <c r="DK405" s="59"/>
      <c r="DL405" s="59"/>
      <c r="DM405" s="59"/>
      <c r="DN405" s="59"/>
      <c r="DO405" s="59"/>
      <c r="DP405" s="59"/>
      <c r="DQ405" s="384" t="str">
        <f t="shared" si="128"/>
        <v> </v>
      </c>
      <c r="DR405" s="384"/>
      <c r="DS405" s="170"/>
      <c r="DT405" s="384"/>
      <c r="DU405" s="384"/>
      <c r="DV405" s="170"/>
      <c r="DW405" s="170"/>
      <c r="DX405" s="384"/>
      <c r="DY405" s="384"/>
      <c r="DZ405" s="170"/>
      <c r="EA405" s="61"/>
      <c r="EB405" s="61"/>
      <c r="EC405" s="61"/>
      <c r="ED405" s="384"/>
      <c r="EE405" s="384"/>
      <c r="EF405" s="170"/>
      <c r="EG405" s="384"/>
      <c r="EH405" s="384"/>
      <c r="EI405" s="170"/>
      <c r="EJ405" s="170"/>
      <c r="EK405" s="384"/>
      <c r="EL405" s="384"/>
      <c r="EM405" s="170"/>
      <c r="EN405" s="384"/>
      <c r="EO405" s="384"/>
      <c r="EP405" s="384"/>
      <c r="EQ405" s="384"/>
      <c r="ER405" s="385"/>
      <c r="ES405" s="385"/>
      <c r="ET405" s="386"/>
      <c r="EU405" s="386"/>
      <c r="EV405" s="82"/>
      <c r="EW405" s="82"/>
      <c r="EX405" s="82"/>
      <c r="EY405" s="82"/>
      <c r="EZ405" s="82"/>
      <c r="FA405" s="82"/>
      <c r="FB405" s="82"/>
      <c r="FC405" s="392"/>
      <c r="FD405" s="393"/>
      <c r="FE405" s="5"/>
      <c r="FF405" s="5"/>
      <c r="FG405" s="5"/>
      <c r="FH405" s="5"/>
      <c r="FI405" s="5"/>
      <c r="FJ405" s="5"/>
      <c r="FK405" s="5"/>
      <c r="FL405" s="5"/>
      <c r="FM405" s="5"/>
      <c r="FN405" s="5"/>
      <c r="FO405" s="5"/>
      <c r="FP405" s="5"/>
      <c r="FQ405" s="5"/>
      <c r="FR405" s="5"/>
      <c r="FS405" s="5"/>
      <c r="FT405" s="5"/>
      <c r="FU405" s="5"/>
      <c r="FV405" s="5"/>
      <c r="FW405" s="5"/>
      <c r="FX405" s="5"/>
    </row>
    <row r="406" spans="1:180" ht="12" hidden="1">
      <c r="A406" s="156">
        <f t="shared" si="127"/>
        <v>1</v>
      </c>
      <c r="DD406" s="59" t="s">
        <v>14</v>
      </c>
      <c r="DE406" s="59"/>
      <c r="DF406" s="59"/>
      <c r="DG406" s="59"/>
      <c r="DH406" s="59"/>
      <c r="DI406" s="59"/>
      <c r="DJ406" s="59"/>
      <c r="DK406" s="59"/>
      <c r="DL406" s="59"/>
      <c r="DM406" s="59"/>
      <c r="DN406" s="59"/>
      <c r="DO406" s="59"/>
      <c r="DP406" s="59"/>
      <c r="DQ406" s="386" t="str">
        <f t="shared" si="128"/>
        <v> </v>
      </c>
      <c r="DR406" s="386"/>
      <c r="DS406" s="60"/>
      <c r="DT406" s="386"/>
      <c r="DU406" s="386"/>
      <c r="DV406" s="60"/>
      <c r="DW406" s="60"/>
      <c r="DX406" s="386"/>
      <c r="DY406" s="386"/>
      <c r="DZ406" s="60"/>
      <c r="EA406" s="61"/>
      <c r="EB406" s="61"/>
      <c r="EC406" s="61"/>
      <c r="ED406" s="386"/>
      <c r="EE406" s="386"/>
      <c r="EF406" s="60"/>
      <c r="EG406" s="386"/>
      <c r="EH406" s="386"/>
      <c r="EI406" s="60"/>
      <c r="EJ406" s="60"/>
      <c r="EK406" s="386"/>
      <c r="EL406" s="386"/>
      <c r="EM406" s="60"/>
      <c r="EN406" s="386"/>
      <c r="EO406" s="386"/>
      <c r="EP406" s="386"/>
      <c r="EQ406" s="386"/>
      <c r="ER406" s="385"/>
      <c r="ES406" s="385"/>
      <c r="ET406" s="386"/>
      <c r="EU406" s="386"/>
      <c r="EV406" s="82"/>
      <c r="EW406" s="82"/>
      <c r="EX406" s="82"/>
      <c r="EY406" s="82"/>
      <c r="EZ406" s="82"/>
      <c r="FA406" s="82"/>
      <c r="FB406" s="82"/>
      <c r="FC406" s="242"/>
      <c r="FD406" s="243"/>
      <c r="FE406" s="5"/>
      <c r="FF406" s="5"/>
      <c r="FG406" s="5"/>
      <c r="FH406" s="5"/>
      <c r="FI406" s="5"/>
      <c r="FJ406" s="5"/>
      <c r="FK406" s="5"/>
      <c r="FL406" s="5"/>
      <c r="FM406" s="5"/>
      <c r="FN406" s="5"/>
      <c r="FO406" s="5"/>
      <c r="FP406" s="5"/>
      <c r="FQ406" s="5"/>
      <c r="FR406" s="5"/>
      <c r="FS406" s="5"/>
      <c r="FT406" s="5"/>
      <c r="FU406" s="5"/>
      <c r="FV406" s="5"/>
      <c r="FW406" s="5"/>
      <c r="FX406" s="5"/>
    </row>
    <row r="407" spans="1:180" ht="12" hidden="1">
      <c r="A407" s="156">
        <f t="shared" si="127"/>
        <v>1</v>
      </c>
      <c r="DD407" s="59" t="s">
        <v>14</v>
      </c>
      <c r="DE407" s="59"/>
      <c r="DF407" s="59"/>
      <c r="DG407" s="59"/>
      <c r="DH407" s="59"/>
      <c r="DI407" s="59"/>
      <c r="DJ407" s="59"/>
      <c r="DK407" s="59"/>
      <c r="DL407" s="59"/>
      <c r="DM407" s="59"/>
      <c r="DN407" s="59"/>
      <c r="DO407" s="59"/>
      <c r="DP407" s="59"/>
      <c r="DQ407" s="386" t="str">
        <f t="shared" si="128"/>
        <v> </v>
      </c>
      <c r="DR407" s="386"/>
      <c r="DS407" s="60"/>
      <c r="DT407" s="386"/>
      <c r="DU407" s="386"/>
      <c r="DV407" s="60"/>
      <c r="DW407" s="60"/>
      <c r="DX407" s="386"/>
      <c r="DY407" s="386"/>
      <c r="DZ407" s="60"/>
      <c r="EA407" s="61"/>
      <c r="EB407" s="61"/>
      <c r="EC407" s="61"/>
      <c r="ED407" s="386"/>
      <c r="EE407" s="386"/>
      <c r="EF407" s="60"/>
      <c r="EG407" s="386"/>
      <c r="EH407" s="386"/>
      <c r="EI407" s="60"/>
      <c r="EJ407" s="60"/>
      <c r="EK407" s="386"/>
      <c r="EL407" s="386"/>
      <c r="EM407" s="60"/>
      <c r="EN407" s="386"/>
      <c r="EO407" s="386"/>
      <c r="EP407" s="386"/>
      <c r="EQ407" s="386"/>
      <c r="ER407" s="385"/>
      <c r="ES407" s="385"/>
      <c r="ET407" s="386"/>
      <c r="EU407" s="386"/>
      <c r="EV407" s="82"/>
      <c r="EW407" s="82"/>
      <c r="EX407" s="82"/>
      <c r="EY407" s="82"/>
      <c r="EZ407" s="82"/>
      <c r="FA407" s="82"/>
      <c r="FB407" s="82"/>
      <c r="FC407" s="242"/>
      <c r="FD407" s="243"/>
      <c r="FE407" s="5"/>
      <c r="FF407" s="5"/>
      <c r="FG407" s="5"/>
      <c r="FH407" s="5"/>
      <c r="FI407" s="5"/>
      <c r="FJ407" s="5"/>
      <c r="FK407" s="5"/>
      <c r="FL407" s="5"/>
      <c r="FM407" s="5"/>
      <c r="FN407" s="5"/>
      <c r="FO407" s="5"/>
      <c r="FP407" s="5"/>
      <c r="FQ407" s="5"/>
      <c r="FR407" s="5"/>
      <c r="FS407" s="5"/>
      <c r="FT407" s="5"/>
      <c r="FU407" s="5"/>
      <c r="FV407" s="5"/>
      <c r="FW407" s="5"/>
      <c r="FX407" s="5"/>
    </row>
    <row r="408" spans="1:180" ht="12" hidden="1">
      <c r="A408" s="156">
        <f t="shared" si="127"/>
        <v>1</v>
      </c>
      <c r="DD408" s="59" t="s">
        <v>14</v>
      </c>
      <c r="DE408" s="59"/>
      <c r="DF408" s="59"/>
      <c r="DG408" s="59"/>
      <c r="DH408" s="59"/>
      <c r="DI408" s="59"/>
      <c r="DJ408" s="59"/>
      <c r="DK408" s="59"/>
      <c r="DL408" s="59"/>
      <c r="DM408" s="59"/>
      <c r="DN408" s="59"/>
      <c r="DO408" s="59"/>
      <c r="DP408" s="59"/>
      <c r="DQ408" s="386" t="str">
        <f t="shared" si="128"/>
        <v> </v>
      </c>
      <c r="DR408" s="386"/>
      <c r="DS408" s="60"/>
      <c r="DT408" s="386"/>
      <c r="DU408" s="386"/>
      <c r="DV408" s="60"/>
      <c r="DW408" s="60"/>
      <c r="DX408" s="386"/>
      <c r="DY408" s="386"/>
      <c r="DZ408" s="60"/>
      <c r="EA408" s="61"/>
      <c r="EB408" s="61"/>
      <c r="EC408" s="61"/>
      <c r="ED408" s="386"/>
      <c r="EE408" s="386"/>
      <c r="EF408" s="60"/>
      <c r="EG408" s="386"/>
      <c r="EH408" s="386"/>
      <c r="EI408" s="60"/>
      <c r="EJ408" s="60"/>
      <c r="EK408" s="386"/>
      <c r="EL408" s="386"/>
      <c r="EM408" s="60"/>
      <c r="EN408" s="386"/>
      <c r="EO408" s="386"/>
      <c r="EP408" s="386"/>
      <c r="EQ408" s="386"/>
      <c r="ER408" s="385"/>
      <c r="ES408" s="385"/>
      <c r="ET408" s="386"/>
      <c r="EU408" s="386"/>
      <c r="EV408" s="172"/>
      <c r="EW408" s="172"/>
      <c r="EX408" s="172"/>
      <c r="EY408" s="172"/>
      <c r="EZ408" s="172"/>
      <c r="FA408" s="172"/>
      <c r="FB408" s="82"/>
      <c r="FC408" s="242"/>
      <c r="FD408" s="243"/>
      <c r="FE408" s="5"/>
      <c r="FF408" s="5"/>
      <c r="FG408" s="5"/>
      <c r="FH408" s="5"/>
      <c r="FI408" s="5"/>
      <c r="FJ408" s="5"/>
      <c r="FK408" s="5"/>
      <c r="FL408" s="5"/>
      <c r="FM408" s="5"/>
      <c r="FN408" s="5"/>
      <c r="FO408" s="5"/>
      <c r="FP408" s="5"/>
      <c r="FQ408" s="5"/>
      <c r="FR408" s="5"/>
      <c r="FS408" s="5"/>
      <c r="FT408" s="5"/>
      <c r="FU408" s="5"/>
      <c r="FV408" s="5"/>
      <c r="FW408" s="5"/>
      <c r="FX408" s="5"/>
    </row>
    <row r="409" spans="1:180" ht="12" hidden="1">
      <c r="A409" s="156">
        <f t="shared" si="127"/>
        <v>1</v>
      </c>
      <c r="DD409" s="59" t="s">
        <v>14</v>
      </c>
      <c r="DE409" s="59"/>
      <c r="DF409" s="59"/>
      <c r="DG409" s="59"/>
      <c r="DH409" s="59"/>
      <c r="DI409" s="59"/>
      <c r="DJ409" s="59"/>
      <c r="DK409" s="59"/>
      <c r="DL409" s="59"/>
      <c r="DM409" s="59"/>
      <c r="DN409" s="59"/>
      <c r="DO409" s="59"/>
      <c r="DP409" s="59"/>
      <c r="DQ409" s="170"/>
      <c r="DR409" s="170"/>
      <c r="DS409" s="170"/>
      <c r="DT409" s="170"/>
      <c r="DU409" s="170"/>
      <c r="DV409" s="170"/>
      <c r="DW409" s="170"/>
      <c r="DX409" s="170"/>
      <c r="DY409" s="170"/>
      <c r="DZ409" s="170"/>
      <c r="EA409" s="170"/>
      <c r="EB409" s="171"/>
      <c r="EC409" s="171"/>
      <c r="ED409" s="170"/>
      <c r="EE409" s="170"/>
      <c r="EF409" s="170"/>
      <c r="EG409" s="170"/>
      <c r="EH409" s="170"/>
      <c r="EI409" s="170"/>
      <c r="EJ409" s="170"/>
      <c r="EK409" s="170"/>
      <c r="EL409" s="170"/>
      <c r="EM409" s="170"/>
      <c r="EN409" s="170"/>
      <c r="EO409" s="170"/>
      <c r="EP409" s="170"/>
      <c r="EQ409" s="170"/>
      <c r="ER409" s="389"/>
      <c r="ES409" s="389"/>
      <c r="ET409" s="384"/>
      <c r="EU409" s="384"/>
      <c r="EV409" s="172"/>
      <c r="EW409" s="172"/>
      <c r="EX409" s="172"/>
      <c r="EY409" s="172"/>
      <c r="EZ409" s="172"/>
      <c r="FA409" s="172"/>
      <c r="FB409" s="82"/>
      <c r="FC409" s="242"/>
      <c r="FD409" s="243"/>
      <c r="FE409" s="5"/>
      <c r="FF409" s="5"/>
      <c r="FG409" s="5"/>
      <c r="FH409" s="5"/>
      <c r="FI409" s="5"/>
      <c r="FJ409" s="5"/>
      <c r="FK409" s="5"/>
      <c r="FL409" s="5"/>
      <c r="FM409" s="5"/>
      <c r="FN409" s="5"/>
      <c r="FO409" s="5"/>
      <c r="FP409" s="5"/>
      <c r="FQ409" s="5"/>
      <c r="FR409" s="5"/>
      <c r="FS409" s="5"/>
      <c r="FT409" s="5"/>
      <c r="FU409" s="5"/>
      <c r="FV409" s="5"/>
      <c r="FW409" s="5"/>
      <c r="FX409" s="5"/>
    </row>
    <row r="410" spans="1:180" ht="12" hidden="1">
      <c r="A410" s="156">
        <f t="shared" si="127"/>
        <v>1</v>
      </c>
      <c r="DD410" s="59" t="s">
        <v>14</v>
      </c>
      <c r="DE410" s="59"/>
      <c r="DF410" s="59"/>
      <c r="DG410" s="59"/>
      <c r="DH410" s="59"/>
      <c r="DI410" s="59"/>
      <c r="DJ410" s="59"/>
      <c r="DK410" s="59"/>
      <c r="DL410" s="59"/>
      <c r="DM410" s="59"/>
      <c r="DN410" s="59"/>
      <c r="DO410" s="59"/>
      <c r="DP410" s="59"/>
      <c r="DQ410" s="170"/>
      <c r="DR410" s="170"/>
      <c r="DS410" s="170"/>
      <c r="DT410" s="170"/>
      <c r="DU410" s="170"/>
      <c r="DV410" s="170"/>
      <c r="DW410" s="170"/>
      <c r="DX410" s="170"/>
      <c r="DY410" s="170"/>
      <c r="DZ410" s="170"/>
      <c r="EA410" s="170"/>
      <c r="EB410" s="171"/>
      <c r="EC410" s="171"/>
      <c r="ED410" s="170"/>
      <c r="EE410" s="170"/>
      <c r="EF410" s="170"/>
      <c r="EG410" s="170"/>
      <c r="EH410" s="170"/>
      <c r="EI410" s="170"/>
      <c r="EJ410" s="170"/>
      <c r="EK410" s="170"/>
      <c r="EL410" s="170"/>
      <c r="EM410" s="170"/>
      <c r="EN410" s="170"/>
      <c r="EO410" s="170"/>
      <c r="EP410" s="170"/>
      <c r="EQ410" s="170"/>
      <c r="ER410" s="389"/>
      <c r="ES410" s="389"/>
      <c r="ET410" s="384"/>
      <c r="EU410" s="384"/>
      <c r="EV410" s="172"/>
      <c r="EW410" s="172"/>
      <c r="EX410" s="172"/>
      <c r="EY410" s="172"/>
      <c r="EZ410" s="172"/>
      <c r="FA410" s="172"/>
      <c r="FB410" s="82"/>
      <c r="FC410" s="242"/>
      <c r="FD410" s="243"/>
      <c r="FE410" s="5"/>
      <c r="FF410" s="5"/>
      <c r="FG410" s="5"/>
      <c r="FH410" s="5"/>
      <c r="FI410" s="5"/>
      <c r="FJ410" s="5"/>
      <c r="FK410" s="5"/>
      <c r="FL410" s="5"/>
      <c r="FM410" s="5"/>
      <c r="FN410" s="5"/>
      <c r="FO410" s="5"/>
      <c r="FP410" s="5"/>
      <c r="FQ410" s="5"/>
      <c r="FR410" s="5"/>
      <c r="FS410" s="5"/>
      <c r="FT410" s="5"/>
      <c r="FU410" s="5"/>
      <c r="FV410" s="5"/>
      <c r="FW410" s="5"/>
      <c r="FX410" s="5"/>
    </row>
    <row r="411" spans="1:180" ht="12" hidden="1">
      <c r="A411" s="156">
        <f t="shared" si="127"/>
        <v>1</v>
      </c>
      <c r="DD411" s="59" t="s">
        <v>14</v>
      </c>
      <c r="DE411" s="59"/>
      <c r="DF411" s="59"/>
      <c r="DG411" s="59"/>
      <c r="DH411" s="59"/>
      <c r="DI411" s="59"/>
      <c r="DJ411" s="59"/>
      <c r="DK411" s="59"/>
      <c r="DL411" s="59"/>
      <c r="DM411" s="59"/>
      <c r="DN411" s="59"/>
      <c r="DO411" s="59"/>
      <c r="DP411" s="59"/>
      <c r="DQ411" s="173"/>
      <c r="DR411" s="173"/>
      <c r="DS411" s="173"/>
      <c r="DT411" s="173"/>
      <c r="DU411" s="173"/>
      <c r="DV411" s="173"/>
      <c r="DW411" s="173"/>
      <c r="DX411" s="173"/>
      <c r="DY411" s="173"/>
      <c r="DZ411" s="173"/>
      <c r="EA411" s="173"/>
      <c r="EB411" s="174"/>
      <c r="EC411" s="174"/>
      <c r="ED411" s="173"/>
      <c r="EE411" s="173"/>
      <c r="EF411" s="173"/>
      <c r="EG411" s="173"/>
      <c r="EH411" s="173"/>
      <c r="EI411" s="173"/>
      <c r="EJ411" s="173"/>
      <c r="EK411" s="173"/>
      <c r="EL411" s="173"/>
      <c r="EM411" s="173"/>
      <c r="EN411" s="173"/>
      <c r="EO411" s="173"/>
      <c r="EP411" s="173"/>
      <c r="EQ411" s="173"/>
      <c r="ER411" s="390"/>
      <c r="ES411" s="390"/>
      <c r="ET411" s="391"/>
      <c r="EU411" s="391"/>
      <c r="EV411" s="164"/>
      <c r="EW411" s="164"/>
      <c r="EX411" s="164"/>
      <c r="EY411" s="164"/>
      <c r="EZ411" s="164"/>
      <c r="FA411" s="164"/>
      <c r="FB411" s="164"/>
      <c r="FC411" s="242"/>
      <c r="FD411" s="243"/>
      <c r="FE411" s="5"/>
      <c r="FF411" s="5"/>
      <c r="FG411" s="5"/>
      <c r="FH411" s="5"/>
      <c r="FI411" s="5"/>
      <c r="FJ411" s="5"/>
      <c r="FK411" s="5"/>
      <c r="FL411" s="5"/>
      <c r="FM411" s="5"/>
      <c r="FN411" s="5"/>
      <c r="FO411" s="5"/>
      <c r="FP411" s="5"/>
      <c r="FQ411" s="5"/>
      <c r="FR411" s="5"/>
      <c r="FS411" s="5"/>
      <c r="FT411" s="5"/>
      <c r="FU411" s="5"/>
      <c r="FV411" s="5"/>
      <c r="FW411" s="5"/>
      <c r="FX411" s="5"/>
    </row>
    <row r="412" spans="1:180" ht="12" hidden="1">
      <c r="A412" s="156">
        <f t="shared" si="127"/>
        <v>1</v>
      </c>
      <c r="DD412" s="65"/>
      <c r="DE412" s="65"/>
      <c r="DF412" s="65"/>
      <c r="DG412" s="65"/>
      <c r="DH412" s="65"/>
      <c r="DI412" s="65"/>
      <c r="DJ412" s="65"/>
      <c r="DK412" s="65"/>
      <c r="DL412" s="65"/>
      <c r="DM412" s="65"/>
      <c r="DN412" s="65"/>
      <c r="DO412" s="65"/>
      <c r="DP412" s="65"/>
      <c r="DQ412" s="65"/>
      <c r="DR412" s="65"/>
      <c r="DS412" s="65"/>
      <c r="DT412" s="65"/>
      <c r="DU412" s="65"/>
      <c r="DV412" s="65"/>
      <c r="DW412" s="65"/>
      <c r="DX412" s="65"/>
      <c r="DY412" s="65"/>
      <c r="DZ412" s="65"/>
      <c r="EA412" s="65"/>
      <c r="EB412" s="66"/>
      <c r="EC412" s="66"/>
      <c r="ED412" s="386"/>
      <c r="EE412" s="386"/>
      <c r="EF412" s="60"/>
      <c r="EG412" s="386"/>
      <c r="EH412" s="386"/>
      <c r="EI412" s="60"/>
      <c r="EJ412" s="60"/>
      <c r="EK412" s="386"/>
      <c r="EL412" s="386"/>
      <c r="EM412" s="60"/>
      <c r="EN412" s="386"/>
      <c r="EO412" s="386"/>
      <c r="EP412" s="386"/>
      <c r="EQ412" s="386"/>
      <c r="ER412" s="387">
        <f>ER378</f>
        <v>43858</v>
      </c>
      <c r="ES412" s="388"/>
      <c r="ET412" s="386">
        <f>SUM(ET382:EU411)</f>
        <v>0</v>
      </c>
      <c r="EU412" s="386"/>
      <c r="EV412" s="386">
        <f>IF(ER412="",0,IF(ET412=0,0,IF(ET412&lt;EV380,FE382,IF(ET412=EV380,IF(ER412&gt;FE386,FE382,FE383),0))))</f>
        <v>0</v>
      </c>
      <c r="EW412" s="386"/>
      <c r="EX412" s="386">
        <f>IF(ER412="",0,IF(ET412=EX380,IF(ER412&gt;FE386,FE383,FE384),0))</f>
        <v>0</v>
      </c>
      <c r="EY412" s="386"/>
      <c r="EZ412" s="386">
        <f>IF(ER412="",0,IF(ET412=EZ380,FE384,0))</f>
        <v>0</v>
      </c>
      <c r="FA412" s="386"/>
      <c r="FB412" s="60">
        <f>SUM(EV412:FA412)</f>
        <v>0</v>
      </c>
      <c r="FC412" s="242"/>
      <c r="FD412" s="243"/>
      <c r="FE412" s="5"/>
      <c r="FF412" s="5"/>
      <c r="FG412" s="5"/>
      <c r="FH412" s="5"/>
      <c r="FI412" s="5"/>
      <c r="FJ412" s="5"/>
      <c r="FK412" s="5"/>
      <c r="FL412" s="5"/>
      <c r="FM412" s="5"/>
      <c r="FN412" s="5"/>
      <c r="FO412" s="5"/>
      <c r="FP412" s="5"/>
      <c r="FQ412" s="5"/>
      <c r="FR412" s="5"/>
      <c r="FS412" s="5"/>
      <c r="FT412" s="5"/>
      <c r="FU412" s="5"/>
      <c r="FV412" s="5"/>
      <c r="FW412" s="5"/>
      <c r="FX412" s="5"/>
    </row>
    <row r="413" ht="12" hidden="1">
      <c r="A413" s="156">
        <f t="shared" si="127"/>
        <v>1</v>
      </c>
    </row>
    <row r="414" ht="12" hidden="1">
      <c r="A414" s="156">
        <f t="shared" si="127"/>
        <v>1</v>
      </c>
    </row>
    <row r="415" ht="12" hidden="1">
      <c r="A415" s="156">
        <f t="shared" si="127"/>
        <v>1</v>
      </c>
    </row>
    <row r="416" spans="1:20" ht="12" hidden="1">
      <c r="A416" s="156">
        <f t="shared" si="127"/>
        <v>1</v>
      </c>
      <c r="B416" s="4"/>
      <c r="C416" s="716" t="s">
        <v>294</v>
      </c>
      <c r="D416" s="4"/>
      <c r="E416" s="5"/>
      <c r="F416" s="5"/>
      <c r="G416" s="5"/>
      <c r="H416" s="224" t="s">
        <v>87</v>
      </c>
      <c r="I416" s="224">
        <f>MOD(YEAR(F424),19)</f>
        <v>6</v>
      </c>
      <c r="J416" s="227">
        <f>IF(I416&gt;10,1,0)</f>
        <v>0</v>
      </c>
      <c r="K416" s="5"/>
      <c r="L416" s="5"/>
      <c r="M416" s="5"/>
      <c r="N416" s="5"/>
      <c r="O416" s="5"/>
      <c r="P416" s="5"/>
      <c r="Q416" s="5"/>
      <c r="R416" s="5"/>
      <c r="S416" s="5"/>
      <c r="T416" s="5"/>
    </row>
    <row r="417" spans="1:20" ht="12" hidden="1">
      <c r="A417" s="156">
        <f t="shared" si="127"/>
        <v>1</v>
      </c>
      <c r="B417" s="4"/>
      <c r="C417" s="716"/>
      <c r="D417" s="4"/>
      <c r="E417" s="5"/>
      <c r="F417" s="5"/>
      <c r="G417" s="5"/>
      <c r="H417" s="224" t="s">
        <v>89</v>
      </c>
      <c r="I417" s="224">
        <f>MOD(YEAR(F424),4)</f>
        <v>0</v>
      </c>
      <c r="J417" s="228"/>
      <c r="K417" s="5"/>
      <c r="L417" s="5"/>
      <c r="M417" s="5"/>
      <c r="N417" s="5"/>
      <c r="O417" s="5"/>
      <c r="P417" s="5"/>
      <c r="Q417" s="5"/>
      <c r="R417" s="5"/>
      <c r="S417" s="5"/>
      <c r="T417" s="5"/>
    </row>
    <row r="418" spans="1:20" ht="12" hidden="1">
      <c r="A418" s="156">
        <f t="shared" si="127"/>
        <v>1</v>
      </c>
      <c r="B418" s="4"/>
      <c r="C418" s="716"/>
      <c r="D418" s="4"/>
      <c r="E418" s="5"/>
      <c r="F418" s="5"/>
      <c r="G418" s="5"/>
      <c r="H418" s="224" t="s">
        <v>91</v>
      </c>
      <c r="I418" s="224">
        <f>MOD(YEAR(F424),7)</f>
        <v>4</v>
      </c>
      <c r="J418" s="228"/>
      <c r="K418" s="5"/>
      <c r="L418" s="5"/>
      <c r="M418" s="5"/>
      <c r="N418" s="5"/>
      <c r="O418" s="5"/>
      <c r="P418" s="5"/>
      <c r="Q418" s="5"/>
      <c r="R418" s="5"/>
      <c r="S418" s="5"/>
      <c r="T418" s="5"/>
    </row>
    <row r="419" spans="1:20" ht="12" hidden="1">
      <c r="A419" s="156">
        <f t="shared" si="127"/>
        <v>1</v>
      </c>
      <c r="B419" s="4"/>
      <c r="C419" s="716"/>
      <c r="D419" s="4"/>
      <c r="E419" s="5"/>
      <c r="F419" s="5"/>
      <c r="G419" s="5"/>
      <c r="H419" s="224" t="s">
        <v>93</v>
      </c>
      <c r="I419" s="224">
        <f>MOD(19*I416+24,30)</f>
        <v>18</v>
      </c>
      <c r="J419" s="228">
        <f>IF(I419=28,1,0)</f>
        <v>0</v>
      </c>
      <c r="K419" s="5"/>
      <c r="L419" s="5"/>
      <c r="M419" s="5"/>
      <c r="N419" s="5"/>
      <c r="O419" s="5"/>
      <c r="P419" s="5"/>
      <c r="Q419" s="5"/>
      <c r="R419" s="5"/>
      <c r="S419" s="5"/>
      <c r="T419" s="5"/>
    </row>
    <row r="420" spans="1:20" ht="12" hidden="1">
      <c r="A420" s="156">
        <f t="shared" si="127"/>
        <v>1</v>
      </c>
      <c r="B420" s="4"/>
      <c r="C420" s="717"/>
      <c r="D420" s="268">
        <f>IF(C423-X14&lt;0,0,1)</f>
        <v>0</v>
      </c>
      <c r="E420" s="5"/>
      <c r="F420" s="5"/>
      <c r="G420" s="5"/>
      <c r="H420" s="224" t="s">
        <v>94</v>
      </c>
      <c r="I420" s="224">
        <f>MOD(2*I417+4*I418+6*I419+5,7)</f>
        <v>3</v>
      </c>
      <c r="J420" s="228">
        <f>IF(I420=6,1,0)</f>
        <v>0</v>
      </c>
      <c r="K420" s="5"/>
      <c r="L420" s="5"/>
      <c r="M420" s="5"/>
      <c r="N420" s="5"/>
      <c r="O420" s="5"/>
      <c r="P420" s="5"/>
      <c r="Q420" s="5"/>
      <c r="R420" s="5"/>
      <c r="S420" s="5"/>
      <c r="T420" s="5"/>
    </row>
    <row r="421" spans="1:20" ht="12" hidden="1">
      <c r="A421" s="156">
        <f t="shared" si="127"/>
        <v>1</v>
      </c>
      <c r="B421" s="4"/>
      <c r="C421" s="332">
        <v>1</v>
      </c>
      <c r="D421" s="336">
        <f>IF(X13=0,1,IF(X13&lt;Q174,0,IF(X13&gt;Q175,0,1)))</f>
        <v>1</v>
      </c>
      <c r="E421" s="159" t="s">
        <v>295</v>
      </c>
      <c r="F421" s="5"/>
      <c r="G421" s="5"/>
      <c r="H421" s="224" t="s">
        <v>40</v>
      </c>
      <c r="I421" s="224">
        <f>IF(I419+I420&lt;10,3,4)</f>
        <v>4</v>
      </c>
      <c r="J421" s="229"/>
      <c r="K421" s="5"/>
      <c r="L421" s="5"/>
      <c r="M421" s="5"/>
      <c r="N421" s="5"/>
      <c r="O421" s="5"/>
      <c r="P421" s="5"/>
      <c r="Q421" s="5"/>
      <c r="R421" s="5"/>
      <c r="S421" s="5"/>
      <c r="T421" s="5"/>
    </row>
    <row r="422" spans="1:20" ht="12" hidden="1">
      <c r="A422" s="156">
        <f t="shared" si="127"/>
        <v>1</v>
      </c>
      <c r="B422" s="4"/>
      <c r="C422" s="268">
        <v>1</v>
      </c>
      <c r="D422" s="336">
        <f>IF(OR(X14&gt;Q175,X14&lt;42005),0,1)</f>
        <v>1</v>
      </c>
      <c r="E422" s="159" t="s">
        <v>296</v>
      </c>
      <c r="F422" s="5"/>
      <c r="G422" s="5"/>
      <c r="H422" s="224" t="s">
        <v>95</v>
      </c>
      <c r="I422" s="224">
        <f>IF(I421=3,I419+I420+22,IF(I419+I420-9=26,19,IF((I419+I420-9)*J422=25,18,I419+I420-9)))</f>
        <v>12</v>
      </c>
      <c r="J422" s="229">
        <f>J416*J419*J420</f>
        <v>0</v>
      </c>
      <c r="K422" s="5"/>
      <c r="L422" s="5"/>
      <c r="M422" s="5"/>
      <c r="N422" s="5"/>
      <c r="O422" s="5"/>
      <c r="P422" s="5"/>
      <c r="Q422" s="5"/>
      <c r="R422" s="5"/>
      <c r="S422" s="5"/>
      <c r="T422" s="5"/>
    </row>
    <row r="423" spans="1:21" ht="45" hidden="1">
      <c r="A423" s="156">
        <f t="shared" si="127"/>
        <v>1</v>
      </c>
      <c r="B423" s="5"/>
      <c r="C423" s="267">
        <f>Z25+58</f>
        <v>58</v>
      </c>
      <c r="D423" s="275"/>
      <c r="E423" s="5"/>
      <c r="F423" s="226" t="s">
        <v>96</v>
      </c>
      <c r="G423" s="225" t="s">
        <v>97</v>
      </c>
      <c r="H423" s="225">
        <f>DATEVALUE(CONCATENATE("06/01/",YEAR(F424)))</f>
        <v>43836</v>
      </c>
      <c r="I423" s="225">
        <f>DATEVALUE(CONCATENATE(I422,"/",I421,"/",YEAR(F424)))+1</f>
        <v>43934</v>
      </c>
      <c r="J423" s="225">
        <f>DATEVALUE(CONCATENATE("25/04/",YEAR(F424)))</f>
        <v>43946</v>
      </c>
      <c r="K423" s="225">
        <f>DATEVALUE(CONCATENATE("01/05/",YEAR(F424)))</f>
        <v>43952</v>
      </c>
      <c r="L423" s="225">
        <f>DATEVALUE(CONCATENATE("02/06/",YEAR(F424)))</f>
        <v>43984</v>
      </c>
      <c r="M423" s="225">
        <f>DATEVALUE(CONCATENATE("15/08/",YEAR(F424)))</f>
        <v>44058</v>
      </c>
      <c r="N423" s="225">
        <f>DATEVALUE(CONCATENATE("01/11/",YEAR(F424)))</f>
        <v>44136</v>
      </c>
      <c r="O423" s="225">
        <f>DATEVALUE(CONCATENATE("08/12/",YEAR(F424)))</f>
        <v>44173</v>
      </c>
      <c r="P423" s="225">
        <f>DATEVALUE(CONCATENATE("25/12/",YEAR(F424)))</f>
        <v>44190</v>
      </c>
      <c r="Q423" s="225">
        <f>DATEVALUE(CONCATENATE("01/01/",YEAR(F424)+1))</f>
        <v>44197</v>
      </c>
      <c r="R423" s="225">
        <f>DATEVALUE(CONCATENATE("06/01/",YEAR(F424)+1))</f>
        <v>44202</v>
      </c>
      <c r="S423" s="225" t="s">
        <v>97</v>
      </c>
      <c r="T423" s="225" t="s">
        <v>98</v>
      </c>
      <c r="U423" s="225" t="s">
        <v>297</v>
      </c>
    </row>
    <row r="424" spans="1:21" ht="45" hidden="1">
      <c r="A424" s="156">
        <f t="shared" si="127"/>
        <v>1</v>
      </c>
      <c r="B424" s="5"/>
      <c r="C424" s="225">
        <f>IF(T424&gt;U424,"",T424)</f>
        <v>43858</v>
      </c>
      <c r="D424" s="223"/>
      <c r="E424" s="146"/>
      <c r="F424" s="230">
        <f ca="1">TODAY()</f>
        <v>43858</v>
      </c>
      <c r="G424" s="224">
        <f>IF(WEEKDAY(F424,2)=6,2,IF(WEEKDAY(F424,2)=7,1,0))</f>
        <v>0</v>
      </c>
      <c r="H424" s="224">
        <f>IF(F424+G424=H423,1,0)</f>
        <v>0</v>
      </c>
      <c r="I424" s="224">
        <f>IF(F424+G424=I423,1,0)</f>
        <v>0</v>
      </c>
      <c r="J424" s="224">
        <f>IF(F424+G424=J423,1,0)</f>
        <v>0</v>
      </c>
      <c r="K424" s="224">
        <f>IF(F424+G424=K423,1,0)</f>
        <v>0</v>
      </c>
      <c r="L424" s="224">
        <f>IF(F424+G424=L423,1,0)</f>
        <v>0</v>
      </c>
      <c r="M424" s="224">
        <f>IF(F424+G424=M423,1,0)</f>
        <v>0</v>
      </c>
      <c r="N424" s="224">
        <f>IF(F424+G424=N423,1,0)</f>
        <v>0</v>
      </c>
      <c r="O424" s="224">
        <f>IF(F424+G424=O423,1,0)</f>
        <v>0</v>
      </c>
      <c r="P424" s="233">
        <f>IF(F424+G424=P423,2,IF(F424+G424=P423+1,1,0))</f>
        <v>0</v>
      </c>
      <c r="Q424" s="224">
        <f>IF(F424+G424=Q423,1,0)</f>
        <v>0</v>
      </c>
      <c r="R424" s="224">
        <f>IF(F424+G424=R423,1,0)</f>
        <v>0</v>
      </c>
      <c r="S424" s="224">
        <f>IF(WEEKDAY(F424+SUM($G$424:$R$424),2)=6,2,IF(WEEKDAY(F424+SUM($G$424:$R$424),2)=7,1,0))</f>
        <v>0</v>
      </c>
      <c r="T424" s="225">
        <f>SUM($F$424:$S$424)</f>
        <v>43858</v>
      </c>
      <c r="U424" s="225">
        <f>Q175</f>
        <v>44196</v>
      </c>
    </row>
    <row r="425" spans="1:21" ht="45" hidden="1">
      <c r="A425" s="156">
        <f t="shared" si="127"/>
        <v>1</v>
      </c>
      <c r="B425" s="5"/>
      <c r="C425" s="225">
        <f aca="true" t="shared" si="142" ref="C425:C456">IF(T425&gt;U425,"",T425)</f>
        <v>43859</v>
      </c>
      <c r="D425" s="223"/>
      <c r="E425" s="5"/>
      <c r="F425" s="225">
        <f aca="true" t="shared" si="143" ref="F425:F456">T424+1</f>
        <v>43859</v>
      </c>
      <c r="G425" s="224">
        <f aca="true" t="shared" si="144" ref="G425:G456">IF(WEEKDAY(F425,2)=6,2,0)</f>
        <v>0</v>
      </c>
      <c r="H425" s="224">
        <f>IF(F425+G425=H423,1,0)</f>
        <v>0</v>
      </c>
      <c r="I425" s="224">
        <f>IF(F425+G425=I423,1,0)</f>
        <v>0</v>
      </c>
      <c r="J425" s="224">
        <f>IF(F425+G425=J423,1,0)</f>
        <v>0</v>
      </c>
      <c r="K425" s="224">
        <f>IF(F425+G425=K423,1,0)</f>
        <v>0</v>
      </c>
      <c r="L425" s="224">
        <f>IF(F425+G425=L423,1,0)</f>
        <v>0</v>
      </c>
      <c r="M425" s="224">
        <f>IF(F425+G425=M423,1,0)</f>
        <v>0</v>
      </c>
      <c r="N425" s="224">
        <f>IF(F425+G425=N423,1,0)</f>
        <v>0</v>
      </c>
      <c r="O425" s="224">
        <f>IF(F425+G425=O423,1,0)</f>
        <v>0</v>
      </c>
      <c r="P425" s="233">
        <f>IF(F425+G425=P423,2,IF(F425+G425=P423+1,1,0))</f>
        <v>0</v>
      </c>
      <c r="Q425" s="224">
        <f>IF(F425+G425=Q423,1,0)</f>
        <v>0</v>
      </c>
      <c r="R425" s="224">
        <f>IF(F425+G425=R423,1,0)</f>
        <v>0</v>
      </c>
      <c r="S425" s="224">
        <f>IF(WEEKDAY(F425+SUM($G$425:$R$425),2)=6,2,IF(WEEKDAY(F425+SUM($G$425:$R$425),2)=7,1,0))</f>
        <v>0</v>
      </c>
      <c r="T425" s="225">
        <f>SUM($F$425:$S$425)</f>
        <v>43859</v>
      </c>
      <c r="U425" s="225">
        <f aca="true" t="shared" si="145" ref="U425:U456">U424</f>
        <v>44196</v>
      </c>
    </row>
    <row r="426" spans="1:21" ht="45" hidden="1">
      <c r="A426" s="156">
        <f aca="true" t="shared" si="146" ref="A426:A485">A425</f>
        <v>1</v>
      </c>
      <c r="C426" s="232">
        <f t="shared" si="142"/>
        <v>43860</v>
      </c>
      <c r="F426" s="225">
        <f t="shared" si="143"/>
        <v>43860</v>
      </c>
      <c r="G426" s="224">
        <f t="shared" si="144"/>
        <v>0</v>
      </c>
      <c r="H426" s="224">
        <f>IF(F426+G426=H423,1,0)</f>
        <v>0</v>
      </c>
      <c r="I426" s="224">
        <f>IF(F426+G426=I423,1,0)</f>
        <v>0</v>
      </c>
      <c r="J426" s="224">
        <f>IF(F426+G426=J423,1,0)</f>
        <v>0</v>
      </c>
      <c r="K426" s="224">
        <f>IF(F426+G426=K423,1,0)</f>
        <v>0</v>
      </c>
      <c r="L426" s="224">
        <f>IF(F426+G426=L423,1,0)</f>
        <v>0</v>
      </c>
      <c r="M426" s="224">
        <f>IF(F426+G426=M423,1,0)</f>
        <v>0</v>
      </c>
      <c r="N426" s="224">
        <f>IF(F426+G426=N423,1,0)</f>
        <v>0</v>
      </c>
      <c r="O426" s="224">
        <f>IF(F426+G426=O423,1,0)</f>
        <v>0</v>
      </c>
      <c r="P426" s="233">
        <f>IF(F426+G426=P423,2,IF(F426+G426=P423+1,1,0))</f>
        <v>0</v>
      </c>
      <c r="Q426" s="224">
        <f>IF(F426+G426=Q423,1,0)</f>
        <v>0</v>
      </c>
      <c r="R426" s="224">
        <f>IF(F426+G426=R423,1,0)</f>
        <v>0</v>
      </c>
      <c r="S426" s="224">
        <f>IF(WEEKDAY(F426+SUM($G$426:$R$426),2)=6,2,IF(WEEKDAY(F426+SUM($G$426:$R$426),2)=7,1,0))</f>
        <v>0</v>
      </c>
      <c r="T426" s="225">
        <f>SUM($F$426:$S$426)</f>
        <v>43860</v>
      </c>
      <c r="U426" s="225">
        <f t="shared" si="145"/>
        <v>44196</v>
      </c>
    </row>
    <row r="427" spans="1:21" ht="45" hidden="1">
      <c r="A427" s="156">
        <f t="shared" si="146"/>
        <v>1</v>
      </c>
      <c r="C427" s="225">
        <f t="shared" si="142"/>
        <v>43861</v>
      </c>
      <c r="F427" s="225">
        <f t="shared" si="143"/>
        <v>43861</v>
      </c>
      <c r="G427" s="224">
        <f t="shared" si="144"/>
        <v>0</v>
      </c>
      <c r="H427" s="224">
        <f>IF(F427+G427=H423,1,0)</f>
        <v>0</v>
      </c>
      <c r="I427" s="224">
        <f>IF(F427+G427=I423,1,0)</f>
        <v>0</v>
      </c>
      <c r="J427" s="224">
        <f>IF(F427+G427=J423,1,0)</f>
        <v>0</v>
      </c>
      <c r="K427" s="224">
        <f>IF(F427+G427=K423,1,0)</f>
        <v>0</v>
      </c>
      <c r="L427" s="224">
        <f>IF(F427+G427=L423,1,0)</f>
        <v>0</v>
      </c>
      <c r="M427" s="224">
        <f>IF(F427+G427=M423,1,0)</f>
        <v>0</v>
      </c>
      <c r="N427" s="224">
        <f>IF(F427+G427=N423,1,0)</f>
        <v>0</v>
      </c>
      <c r="O427" s="224">
        <f>IF(F427+G427=O423,1,0)</f>
        <v>0</v>
      </c>
      <c r="P427" s="233">
        <f>IF(F427+G427=P423,2,IF(F427+G427=P423+1,1,0))</f>
        <v>0</v>
      </c>
      <c r="Q427" s="224">
        <f>IF(F427+G427=Q423,1,0)</f>
        <v>0</v>
      </c>
      <c r="R427" s="224">
        <f>IF(F427+G427=R423,1,0)</f>
        <v>0</v>
      </c>
      <c r="S427" s="224">
        <f>IF(WEEKDAY(F427+SUM($G$427:$R$427),2)=6,2,IF(WEEKDAY(F427+SUM($G$427:$R$427),2)=7,1,0))</f>
        <v>0</v>
      </c>
      <c r="T427" s="225">
        <f>SUM($F$427:$S$427)</f>
        <v>43861</v>
      </c>
      <c r="U427" s="225">
        <f t="shared" si="145"/>
        <v>44196</v>
      </c>
    </row>
    <row r="428" spans="1:21" ht="45" hidden="1">
      <c r="A428" s="156">
        <f t="shared" si="146"/>
        <v>1</v>
      </c>
      <c r="C428" s="225">
        <f t="shared" si="142"/>
        <v>43864</v>
      </c>
      <c r="F428" s="225">
        <f t="shared" si="143"/>
        <v>43862</v>
      </c>
      <c r="G428" s="224">
        <f t="shared" si="144"/>
        <v>2</v>
      </c>
      <c r="H428" s="224">
        <f>IF(F428+G428=H423,1,0)</f>
        <v>0</v>
      </c>
      <c r="I428" s="224">
        <f>IF(F428+G428=I423,1,0)</f>
        <v>0</v>
      </c>
      <c r="J428" s="224">
        <f>IF(F428+G428=J423,1,0)</f>
        <v>0</v>
      </c>
      <c r="K428" s="224">
        <f>IF(F428+G428=K423,1,0)</f>
        <v>0</v>
      </c>
      <c r="L428" s="224">
        <f>IF(F428+G428=L423,1,0)</f>
        <v>0</v>
      </c>
      <c r="M428" s="224">
        <f>IF(F428+G428=M423,1,0)</f>
        <v>0</v>
      </c>
      <c r="N428" s="224">
        <f>IF(F428+G428=N423,1,0)</f>
        <v>0</v>
      </c>
      <c r="O428" s="224">
        <f>IF(F428+G428=O423,1,0)</f>
        <v>0</v>
      </c>
      <c r="P428" s="233">
        <f>IF(F428+G428=P423,2,IF(F428+G428=P423+1,1,0))</f>
        <v>0</v>
      </c>
      <c r="Q428" s="224">
        <f>IF(F428+G428=Q423,1,0)</f>
        <v>0</v>
      </c>
      <c r="R428" s="224">
        <f>IF(F428+G428=R423,1,0)</f>
        <v>0</v>
      </c>
      <c r="S428" s="224">
        <f>IF(WEEKDAY(F428+SUM($G$428:$R$428),2)=6,2,IF(WEEKDAY(F428+SUM($G$428:$R$428),2)=7,1,0))</f>
        <v>0</v>
      </c>
      <c r="T428" s="225">
        <f>SUM($F$428:$S$428)</f>
        <v>43864</v>
      </c>
      <c r="U428" s="225">
        <f t="shared" si="145"/>
        <v>44196</v>
      </c>
    </row>
    <row r="429" spans="1:21" ht="45" hidden="1">
      <c r="A429" s="156">
        <f t="shared" si="146"/>
        <v>1</v>
      </c>
      <c r="C429" s="225">
        <f t="shared" si="142"/>
        <v>43865</v>
      </c>
      <c r="F429" s="225">
        <f t="shared" si="143"/>
        <v>43865</v>
      </c>
      <c r="G429" s="224">
        <f t="shared" si="144"/>
        <v>0</v>
      </c>
      <c r="H429" s="224">
        <f>IF(F429+G429=H423,1,0)</f>
        <v>0</v>
      </c>
      <c r="I429" s="224">
        <f>IF(F429+G429=I423,1,0)</f>
        <v>0</v>
      </c>
      <c r="J429" s="224">
        <f>IF(F429+G429=J423,1,0)</f>
        <v>0</v>
      </c>
      <c r="K429" s="224">
        <f>IF(F429+G429=K423,1,0)</f>
        <v>0</v>
      </c>
      <c r="L429" s="224">
        <f>IF(F429+G429=L423,1,0)</f>
        <v>0</v>
      </c>
      <c r="M429" s="224">
        <f>IF(F429+G429=M423,1,0)</f>
        <v>0</v>
      </c>
      <c r="N429" s="224">
        <f>IF(F429+G429=N423,1,0)</f>
        <v>0</v>
      </c>
      <c r="O429" s="224">
        <f>IF(F429+G429=O423,1,0)</f>
        <v>0</v>
      </c>
      <c r="P429" s="233">
        <f>IF(F429+G429=P423,2,IF(F429+G429=P423+1,1,0))</f>
        <v>0</v>
      </c>
      <c r="Q429" s="224">
        <f>IF(F429+G429=Q423,1,0)</f>
        <v>0</v>
      </c>
      <c r="R429" s="224">
        <f>IF(F429+G429=R423,1,0)</f>
        <v>0</v>
      </c>
      <c r="S429" s="224">
        <f>IF(WEEKDAY(F429+SUM($G$429:$R$429),2)=6,2,IF(WEEKDAY(F429+SUM($G$429:$R$429),2)=7,1,0))</f>
        <v>0</v>
      </c>
      <c r="T429" s="225">
        <f>SUM($F$429:$S$429)</f>
        <v>43865</v>
      </c>
      <c r="U429" s="225">
        <f t="shared" si="145"/>
        <v>44196</v>
      </c>
    </row>
    <row r="430" spans="1:21" ht="45" hidden="1">
      <c r="A430" s="156">
        <f t="shared" si="146"/>
        <v>1</v>
      </c>
      <c r="C430" s="225">
        <f t="shared" si="142"/>
        <v>43866</v>
      </c>
      <c r="F430" s="225">
        <f t="shared" si="143"/>
        <v>43866</v>
      </c>
      <c r="G430" s="224">
        <f t="shared" si="144"/>
        <v>0</v>
      </c>
      <c r="H430" s="224">
        <f>IF(F430+G430=H423,1,0)</f>
        <v>0</v>
      </c>
      <c r="I430" s="224">
        <f>IF(F430+G430=I423,1,0)</f>
        <v>0</v>
      </c>
      <c r="J430" s="224">
        <f>IF(F430+G430=J423,1,0)</f>
        <v>0</v>
      </c>
      <c r="K430" s="224">
        <f>IF(F430+G430=K423,1,0)</f>
        <v>0</v>
      </c>
      <c r="L430" s="224">
        <f>IF(F430+G430=L423,1,0)</f>
        <v>0</v>
      </c>
      <c r="M430" s="224">
        <f>IF(F430+G430=M423,1,0)</f>
        <v>0</v>
      </c>
      <c r="N430" s="224">
        <f>IF(F430+G430=N423,1,0)</f>
        <v>0</v>
      </c>
      <c r="O430" s="224">
        <f>IF(F430+G430=O423,1,0)</f>
        <v>0</v>
      </c>
      <c r="P430" s="233">
        <f>IF(F430+G430=P423,2,IF(F430+G430=P423+1,1,0))</f>
        <v>0</v>
      </c>
      <c r="Q430" s="224">
        <f>IF(F430+G430=Q423,1,0)</f>
        <v>0</v>
      </c>
      <c r="R430" s="224">
        <f>IF(F430+G430=R423,1,0)</f>
        <v>0</v>
      </c>
      <c r="S430" s="224">
        <f>IF(WEEKDAY(F430+SUM($G$430:$R$430),2)=6,2,IF(WEEKDAY(F430+SUM($G$430:$R$430),2)=7,1,0))</f>
        <v>0</v>
      </c>
      <c r="T430" s="225">
        <f>SUM($F$430:$S$430)</f>
        <v>43866</v>
      </c>
      <c r="U430" s="225">
        <f t="shared" si="145"/>
        <v>44196</v>
      </c>
    </row>
    <row r="431" spans="1:21" ht="45" hidden="1">
      <c r="A431" s="156">
        <f t="shared" si="146"/>
        <v>1</v>
      </c>
      <c r="C431" s="225">
        <f t="shared" si="142"/>
        <v>43867</v>
      </c>
      <c r="F431" s="225">
        <f t="shared" si="143"/>
        <v>43867</v>
      </c>
      <c r="G431" s="224">
        <f t="shared" si="144"/>
        <v>0</v>
      </c>
      <c r="H431" s="224">
        <f>IF(F431+G431=H423,1,0)</f>
        <v>0</v>
      </c>
      <c r="I431" s="224">
        <f>IF(F431+G431=I423,1,0)</f>
        <v>0</v>
      </c>
      <c r="J431" s="224">
        <f>IF(F431+G431=J423,1,0)</f>
        <v>0</v>
      </c>
      <c r="K431" s="224">
        <f>IF(F431+G431=K423,1,0)</f>
        <v>0</v>
      </c>
      <c r="L431" s="224">
        <f>IF(F431+G431=L423,1,0)</f>
        <v>0</v>
      </c>
      <c r="M431" s="224">
        <f>IF(F431+G431=M423,1,0)</f>
        <v>0</v>
      </c>
      <c r="N431" s="224">
        <f>IF(F431+G431=N423,1,0)</f>
        <v>0</v>
      </c>
      <c r="O431" s="224">
        <f>IF(F431+G431=O423,1,0)</f>
        <v>0</v>
      </c>
      <c r="P431" s="233">
        <f>IF(F431+G431=P423,2,IF(F431+G431=P423+1,1,0))</f>
        <v>0</v>
      </c>
      <c r="Q431" s="224">
        <f>IF(F431+G431=Q423,1,0)</f>
        <v>0</v>
      </c>
      <c r="R431" s="224">
        <f>IF(F431+G431=R423,1,0)</f>
        <v>0</v>
      </c>
      <c r="S431" s="224">
        <f>IF(WEEKDAY(F431+SUM($G$431:$R$431),2)=6,2,IF(WEEKDAY(F431+SUM($G$431:$R$431),2)=7,1,0))</f>
        <v>0</v>
      </c>
      <c r="T431" s="225">
        <f>SUM($F$431:$S$431)</f>
        <v>43867</v>
      </c>
      <c r="U431" s="225">
        <f t="shared" si="145"/>
        <v>44196</v>
      </c>
    </row>
    <row r="432" spans="1:21" ht="45" hidden="1">
      <c r="A432" s="156">
        <f t="shared" si="146"/>
        <v>1</v>
      </c>
      <c r="C432" s="225">
        <f t="shared" si="142"/>
        <v>43868</v>
      </c>
      <c r="F432" s="225">
        <f t="shared" si="143"/>
        <v>43868</v>
      </c>
      <c r="G432" s="224">
        <f t="shared" si="144"/>
        <v>0</v>
      </c>
      <c r="H432" s="224">
        <f>IF(F432+G432=H423,1,0)</f>
        <v>0</v>
      </c>
      <c r="I432" s="224">
        <f>IF(F432+G432=I423,1,0)</f>
        <v>0</v>
      </c>
      <c r="J432" s="224">
        <f>IF(F432+G432=J423,1,0)</f>
        <v>0</v>
      </c>
      <c r="K432" s="224">
        <f>IF(F432+G432=K423,1,0)</f>
        <v>0</v>
      </c>
      <c r="L432" s="224">
        <f>IF(F432+G432=L423,1,0)</f>
        <v>0</v>
      </c>
      <c r="M432" s="224">
        <f>IF(F432+G432=M423,1,0)</f>
        <v>0</v>
      </c>
      <c r="N432" s="224">
        <f>IF(F432+G432=N423,1,0)</f>
        <v>0</v>
      </c>
      <c r="O432" s="224">
        <f>IF(F432+G432=O423,1,0)</f>
        <v>0</v>
      </c>
      <c r="P432" s="233">
        <f>IF(F432+G432=P423,2,IF(F432+G432=P423+1,1,0))</f>
        <v>0</v>
      </c>
      <c r="Q432" s="224">
        <f>IF(F432+G432=Q423,1,0)</f>
        <v>0</v>
      </c>
      <c r="R432" s="224">
        <f>IF(F432+G432=R423,1,0)</f>
        <v>0</v>
      </c>
      <c r="S432" s="224">
        <f>IF(WEEKDAY(F432+SUM($G$432:$R$432),2)=6,2,IF(WEEKDAY(F432+SUM($G$432:$R$432),2)=7,1,0))</f>
        <v>0</v>
      </c>
      <c r="T432" s="225">
        <f>SUM($F$432:$S$432)</f>
        <v>43868</v>
      </c>
      <c r="U432" s="225">
        <f t="shared" si="145"/>
        <v>44196</v>
      </c>
    </row>
    <row r="433" spans="1:21" ht="45" hidden="1">
      <c r="A433" s="156">
        <f t="shared" si="146"/>
        <v>1</v>
      </c>
      <c r="C433" s="225">
        <f t="shared" si="142"/>
        <v>43871</v>
      </c>
      <c r="F433" s="225">
        <f t="shared" si="143"/>
        <v>43869</v>
      </c>
      <c r="G433" s="224">
        <f t="shared" si="144"/>
        <v>2</v>
      </c>
      <c r="H433" s="224">
        <f>IF(F433+G433=H423,1,0)</f>
        <v>0</v>
      </c>
      <c r="I433" s="224">
        <f>IF(F433+G433=I423,1,0)</f>
        <v>0</v>
      </c>
      <c r="J433" s="224">
        <f>IF(F433+G433=J423,1,0)</f>
        <v>0</v>
      </c>
      <c r="K433" s="224">
        <f>IF(F433+G433=K423,1,0)</f>
        <v>0</v>
      </c>
      <c r="L433" s="224">
        <f>IF(F433+G433=L423,1,0)</f>
        <v>0</v>
      </c>
      <c r="M433" s="224">
        <f>IF(F433+G433=M423,1,0)</f>
        <v>0</v>
      </c>
      <c r="N433" s="224">
        <f>IF(F433+G433=N423,1,0)</f>
        <v>0</v>
      </c>
      <c r="O433" s="224">
        <f>IF(F433+G433=O423,1,0)</f>
        <v>0</v>
      </c>
      <c r="P433" s="233">
        <f>IF(F433+G433=P423,2,IF(F433+G433=P423+1,1,0))</f>
        <v>0</v>
      </c>
      <c r="Q433" s="224">
        <f>IF(F433+G433=Q423,1,0)</f>
        <v>0</v>
      </c>
      <c r="R433" s="224">
        <f>IF(F433+G433=R423,1,0)</f>
        <v>0</v>
      </c>
      <c r="S433" s="224">
        <f>IF(WEEKDAY(F433+SUM($G$433:$R$433),2)=6,2,IF(WEEKDAY(F433+SUM($G$433:$R$433),2)=7,1,0))</f>
        <v>0</v>
      </c>
      <c r="T433" s="225">
        <f>SUM($F$433:$S$433)</f>
        <v>43871</v>
      </c>
      <c r="U433" s="225">
        <f t="shared" si="145"/>
        <v>44196</v>
      </c>
    </row>
    <row r="434" spans="1:21" ht="45" hidden="1">
      <c r="A434" s="156">
        <f t="shared" si="146"/>
        <v>1</v>
      </c>
      <c r="C434" s="225">
        <f t="shared" si="142"/>
        <v>43872</v>
      </c>
      <c r="F434" s="225">
        <f t="shared" si="143"/>
        <v>43872</v>
      </c>
      <c r="G434" s="224">
        <f t="shared" si="144"/>
        <v>0</v>
      </c>
      <c r="H434" s="224">
        <f>IF(F434+G434=H423,1,0)</f>
        <v>0</v>
      </c>
      <c r="I434" s="224">
        <f>IF(F434+G434=I423,1,0)</f>
        <v>0</v>
      </c>
      <c r="J434" s="224">
        <f>IF(F434+G434=J423,1,0)</f>
        <v>0</v>
      </c>
      <c r="K434" s="224">
        <f>IF(F434+G434=K423,1,0)</f>
        <v>0</v>
      </c>
      <c r="L434" s="224">
        <f>IF(F434+G434=L423,1,0)</f>
        <v>0</v>
      </c>
      <c r="M434" s="224">
        <f>IF(F434+G434=M423,1,0)</f>
        <v>0</v>
      </c>
      <c r="N434" s="224">
        <f>IF(F434+G434=N423,1,0)</f>
        <v>0</v>
      </c>
      <c r="O434" s="224">
        <f>IF(F434+G434=O423,1,0)</f>
        <v>0</v>
      </c>
      <c r="P434" s="233">
        <f>IF(F434+G434=P423,2,IF(F434+G434=P423+1,1,0))</f>
        <v>0</v>
      </c>
      <c r="Q434" s="224">
        <f>IF(F434+G434=Q423,1,0)</f>
        <v>0</v>
      </c>
      <c r="R434" s="224">
        <f>IF(F434+G434=R423,1,0)</f>
        <v>0</v>
      </c>
      <c r="S434" s="224">
        <f>IF(WEEKDAY(F434+SUM($G$434:$R$434),2)=6,2,IF(WEEKDAY(F434+SUM($G$434:$R$434),2)=7,1,0))</f>
        <v>0</v>
      </c>
      <c r="T434" s="225">
        <f>SUM($F$434:$S$434)</f>
        <v>43872</v>
      </c>
      <c r="U434" s="225">
        <f t="shared" si="145"/>
        <v>44196</v>
      </c>
    </row>
    <row r="435" spans="1:21" ht="45" hidden="1">
      <c r="A435" s="156">
        <f t="shared" si="146"/>
        <v>1</v>
      </c>
      <c r="C435" s="225">
        <f t="shared" si="142"/>
        <v>43873</v>
      </c>
      <c r="F435" s="225">
        <f t="shared" si="143"/>
        <v>43873</v>
      </c>
      <c r="G435" s="224">
        <f t="shared" si="144"/>
        <v>0</v>
      </c>
      <c r="H435" s="224">
        <f>IF(F435+G435=H423,1,0)</f>
        <v>0</v>
      </c>
      <c r="I435" s="224">
        <f>IF(F435+G435=I423,1,0)</f>
        <v>0</v>
      </c>
      <c r="J435" s="224">
        <f>IF(F435+G435=J423,1,0)</f>
        <v>0</v>
      </c>
      <c r="K435" s="224">
        <f>IF(F435+G435=K423,1,0)</f>
        <v>0</v>
      </c>
      <c r="L435" s="224">
        <f>IF(F435+G435=L423,1,0)</f>
        <v>0</v>
      </c>
      <c r="M435" s="224">
        <f>IF(F435+G435=M423,1,0)</f>
        <v>0</v>
      </c>
      <c r="N435" s="224">
        <f>IF(F435+G435=N423,1,0)</f>
        <v>0</v>
      </c>
      <c r="O435" s="224">
        <f>IF(F435+G435=O423,1,0)</f>
        <v>0</v>
      </c>
      <c r="P435" s="233">
        <f>IF(F435+G435=P423,2,IF(F435+G435=P423+1,1,0))</f>
        <v>0</v>
      </c>
      <c r="Q435" s="224">
        <f>IF(F435+G435=Q423,1,0)</f>
        <v>0</v>
      </c>
      <c r="R435" s="224">
        <f>IF(F435+G435=R423,1,0)</f>
        <v>0</v>
      </c>
      <c r="S435" s="224">
        <f>IF(WEEKDAY(F435+SUM($G$435:$R$435),2)=6,2,IF(WEEKDAY(F435+SUM($G$435:$R$435),2)=7,1,0))</f>
        <v>0</v>
      </c>
      <c r="T435" s="225">
        <f>SUM($F$435:$S$435)</f>
        <v>43873</v>
      </c>
      <c r="U435" s="225">
        <f t="shared" si="145"/>
        <v>44196</v>
      </c>
    </row>
    <row r="436" spans="1:21" ht="45" hidden="1">
      <c r="A436" s="156">
        <f t="shared" si="146"/>
        <v>1</v>
      </c>
      <c r="C436" s="225">
        <f t="shared" si="142"/>
        <v>43874</v>
      </c>
      <c r="F436" s="225">
        <f t="shared" si="143"/>
        <v>43874</v>
      </c>
      <c r="G436" s="224">
        <f t="shared" si="144"/>
        <v>0</v>
      </c>
      <c r="H436" s="224">
        <f>IF(F436+G436=H423,1,0)</f>
        <v>0</v>
      </c>
      <c r="I436" s="224">
        <f>IF(F436+G436=I423,1,0)</f>
        <v>0</v>
      </c>
      <c r="J436" s="224">
        <f>IF(F436+G436=J423,1,0)</f>
        <v>0</v>
      </c>
      <c r="K436" s="224">
        <f>IF(F436+G436=K423,1,0)</f>
        <v>0</v>
      </c>
      <c r="L436" s="224">
        <f>IF(F436+G436=L423,1,0)</f>
        <v>0</v>
      </c>
      <c r="M436" s="224">
        <f>IF(F436+G436=M423,1,0)</f>
        <v>0</v>
      </c>
      <c r="N436" s="224">
        <f>IF(F436+G436=N423,1,0)</f>
        <v>0</v>
      </c>
      <c r="O436" s="224">
        <f>IF(F436+G436=O423,1,0)</f>
        <v>0</v>
      </c>
      <c r="P436" s="233">
        <f>IF(F436+G436=P423,2,IF(F436+G436=P423+1,1,0))</f>
        <v>0</v>
      </c>
      <c r="Q436" s="224">
        <f>IF(F436+G436=Q423,1,0)</f>
        <v>0</v>
      </c>
      <c r="R436" s="224">
        <f>IF(F436+G436=R423,1,0)</f>
        <v>0</v>
      </c>
      <c r="S436" s="224">
        <f>IF(WEEKDAY(F436+SUM($G$436:$R$436),2)=6,2,IF(WEEKDAY(F436+SUM($G$436:$R$436),2)=7,1,0))</f>
        <v>0</v>
      </c>
      <c r="T436" s="225">
        <f>SUM($F$436:$S$436)</f>
        <v>43874</v>
      </c>
      <c r="U436" s="225">
        <f t="shared" si="145"/>
        <v>44196</v>
      </c>
    </row>
    <row r="437" spans="1:21" ht="45" hidden="1">
      <c r="A437" s="156">
        <f t="shared" si="146"/>
        <v>1</v>
      </c>
      <c r="C437" s="225">
        <f t="shared" si="142"/>
        <v>43875</v>
      </c>
      <c r="F437" s="225">
        <f t="shared" si="143"/>
        <v>43875</v>
      </c>
      <c r="G437" s="224">
        <f t="shared" si="144"/>
        <v>0</v>
      </c>
      <c r="H437" s="224">
        <f>IF(F437+G437=H423,1,0)</f>
        <v>0</v>
      </c>
      <c r="I437" s="224">
        <f>IF(F437+G437=I423,1,0)</f>
        <v>0</v>
      </c>
      <c r="J437" s="224">
        <f>IF(F437+G437=J423,1,0)</f>
        <v>0</v>
      </c>
      <c r="K437" s="224">
        <f>IF(F437+G437=K423,1,0)</f>
        <v>0</v>
      </c>
      <c r="L437" s="224">
        <f>IF(F437+G437=L423,1,0)</f>
        <v>0</v>
      </c>
      <c r="M437" s="224">
        <f>IF(F437+G437=M423,1,0)</f>
        <v>0</v>
      </c>
      <c r="N437" s="224">
        <f>IF(F437+G437=N423,1,0)</f>
        <v>0</v>
      </c>
      <c r="O437" s="224">
        <f>IF(F437+G437=O423,1,0)</f>
        <v>0</v>
      </c>
      <c r="P437" s="233">
        <f>IF(F437+G437=P423,2,IF(F437+G437=P423+1,1,0))</f>
        <v>0</v>
      </c>
      <c r="Q437" s="224">
        <f>IF(F437+G437=Q423,1,0)</f>
        <v>0</v>
      </c>
      <c r="R437" s="224">
        <f>IF(F437+G437=R423,1,0)</f>
        <v>0</v>
      </c>
      <c r="S437" s="224">
        <f>IF(WEEKDAY(F437+SUM($G$437:$R$437),2)=6,2,IF(WEEKDAY(F437+SUM($G$437:$R$437),2)=7,1,0))</f>
        <v>0</v>
      </c>
      <c r="T437" s="225">
        <f>SUM($F$437:$S$437)</f>
        <v>43875</v>
      </c>
      <c r="U437" s="225">
        <f t="shared" si="145"/>
        <v>44196</v>
      </c>
    </row>
    <row r="438" spans="1:21" ht="45" hidden="1">
      <c r="A438" s="156">
        <f t="shared" si="146"/>
        <v>1</v>
      </c>
      <c r="C438" s="225">
        <f t="shared" si="142"/>
        <v>43878</v>
      </c>
      <c r="F438" s="225">
        <f t="shared" si="143"/>
        <v>43876</v>
      </c>
      <c r="G438" s="224">
        <f t="shared" si="144"/>
        <v>2</v>
      </c>
      <c r="H438" s="224">
        <f>IF(F438+G438=H423,1,0)</f>
        <v>0</v>
      </c>
      <c r="I438" s="224">
        <f>IF(F438+G438=I423,1,0)</f>
        <v>0</v>
      </c>
      <c r="J438" s="224">
        <f>IF(F438+G438=J423,1,0)</f>
        <v>0</v>
      </c>
      <c r="K438" s="224">
        <f>IF(F438+G438=K423,1,0)</f>
        <v>0</v>
      </c>
      <c r="L438" s="224">
        <f>IF(F438+G438=L423,1,0)</f>
        <v>0</v>
      </c>
      <c r="M438" s="224">
        <f>IF(F438+G438=M423,1,0)</f>
        <v>0</v>
      </c>
      <c r="N438" s="224">
        <f>IF(F438+G438=N423,1,0)</f>
        <v>0</v>
      </c>
      <c r="O438" s="224">
        <f>IF(F438+G438=O423,1,0)</f>
        <v>0</v>
      </c>
      <c r="P438" s="233">
        <f>IF(F438+G438=P423,2,IF(F438+G438=P423+1,1,0))</f>
        <v>0</v>
      </c>
      <c r="Q438" s="224">
        <f>IF(F438+G438=Q423,1,0)</f>
        <v>0</v>
      </c>
      <c r="R438" s="224">
        <f>IF(F438+G438=R423,1,0)</f>
        <v>0</v>
      </c>
      <c r="S438" s="224">
        <f>IF(WEEKDAY(F438+SUM($G$438:$R$438),2)=6,2,IF(WEEKDAY(F438+SUM($G$438:$R$438),2)=7,1,0))</f>
        <v>0</v>
      </c>
      <c r="T438" s="225">
        <f>SUM($F$438:$S$438)</f>
        <v>43878</v>
      </c>
      <c r="U438" s="225">
        <f t="shared" si="145"/>
        <v>44196</v>
      </c>
    </row>
    <row r="439" spans="1:21" ht="45" hidden="1">
      <c r="A439" s="156">
        <f t="shared" si="146"/>
        <v>1</v>
      </c>
      <c r="C439" s="225">
        <f t="shared" si="142"/>
        <v>43879</v>
      </c>
      <c r="F439" s="225">
        <f t="shared" si="143"/>
        <v>43879</v>
      </c>
      <c r="G439" s="224">
        <f t="shared" si="144"/>
        <v>0</v>
      </c>
      <c r="H439" s="224">
        <f>IF(F439+G439=H423,1,0)</f>
        <v>0</v>
      </c>
      <c r="I439" s="224">
        <f>IF(F439+G439=I423,1,0)</f>
        <v>0</v>
      </c>
      <c r="J439" s="224">
        <f>IF(F439+G439=J423,1,0)</f>
        <v>0</v>
      </c>
      <c r="K439" s="224">
        <f>IF(F439+G439=K423,1,0)</f>
        <v>0</v>
      </c>
      <c r="L439" s="224">
        <f>IF(F439+G439=L423,1,0)</f>
        <v>0</v>
      </c>
      <c r="M439" s="224">
        <f>IF(F439+G439=M423,1,0)</f>
        <v>0</v>
      </c>
      <c r="N439" s="224">
        <f>IF(F439+G439=N423,1,0)</f>
        <v>0</v>
      </c>
      <c r="O439" s="224">
        <f>IF(F439+G439=O423,1,0)</f>
        <v>0</v>
      </c>
      <c r="P439" s="233">
        <f>IF(F439+G439=P423,2,IF(F439+G439=P423+1,1,0))</f>
        <v>0</v>
      </c>
      <c r="Q439" s="224">
        <f>IF(F439+G439=Q423,1,0)</f>
        <v>0</v>
      </c>
      <c r="R439" s="224">
        <f>IF(F439+G439=R423,1,0)</f>
        <v>0</v>
      </c>
      <c r="S439" s="224">
        <f>IF(WEEKDAY(F439+SUM($G$439:$R$439),2)=6,2,IF(WEEKDAY(F439+SUM($G$439:$R$439),2)=7,1,0))</f>
        <v>0</v>
      </c>
      <c r="T439" s="225">
        <f>SUM($F$439:$S$439)</f>
        <v>43879</v>
      </c>
      <c r="U439" s="225">
        <f t="shared" si="145"/>
        <v>44196</v>
      </c>
    </row>
    <row r="440" spans="1:21" ht="45" hidden="1">
      <c r="A440" s="156">
        <f t="shared" si="146"/>
        <v>1</v>
      </c>
      <c r="C440" s="225">
        <f t="shared" si="142"/>
        <v>43880</v>
      </c>
      <c r="F440" s="225">
        <f t="shared" si="143"/>
        <v>43880</v>
      </c>
      <c r="G440" s="224">
        <f t="shared" si="144"/>
        <v>0</v>
      </c>
      <c r="H440" s="224">
        <f>IF(F440+G440=H423,1,0)</f>
        <v>0</v>
      </c>
      <c r="I440" s="224">
        <f>IF(F440+G440=I423,1,0)</f>
        <v>0</v>
      </c>
      <c r="J440" s="224">
        <f>IF(F440+G440=J423,1,0)</f>
        <v>0</v>
      </c>
      <c r="K440" s="224">
        <f>IF(F440+G440=K423,1,0)</f>
        <v>0</v>
      </c>
      <c r="L440" s="224">
        <f>IF(F440+G440=L423,1,0)</f>
        <v>0</v>
      </c>
      <c r="M440" s="224">
        <f>IF(F440+G440=M423,1,0)</f>
        <v>0</v>
      </c>
      <c r="N440" s="224">
        <f>IF(F440+G440=N423,1,0)</f>
        <v>0</v>
      </c>
      <c r="O440" s="224">
        <f>IF(F440+G440=O423,1,0)</f>
        <v>0</v>
      </c>
      <c r="P440" s="233">
        <f>IF(F440+G440=P423,2,IF(F440+G440=P423+1,1,0))</f>
        <v>0</v>
      </c>
      <c r="Q440" s="224">
        <f>IF(F440+G440=Q423,1,0)</f>
        <v>0</v>
      </c>
      <c r="R440" s="224">
        <f>IF(F440+G440=R423,1,0)</f>
        <v>0</v>
      </c>
      <c r="S440" s="224">
        <f>IF(WEEKDAY(F440+SUM($G$440:$R$440),2)=6,2,IF(WEEKDAY(F440+SUM($G$440:$R$440),2)=7,1,0))</f>
        <v>0</v>
      </c>
      <c r="T440" s="225">
        <f>SUM($F$440:$S$440)</f>
        <v>43880</v>
      </c>
      <c r="U440" s="225">
        <f t="shared" si="145"/>
        <v>44196</v>
      </c>
    </row>
    <row r="441" spans="1:21" ht="45" hidden="1">
      <c r="A441" s="156">
        <f t="shared" si="146"/>
        <v>1</v>
      </c>
      <c r="C441" s="225">
        <f t="shared" si="142"/>
        <v>43881</v>
      </c>
      <c r="F441" s="225">
        <f t="shared" si="143"/>
        <v>43881</v>
      </c>
      <c r="G441" s="224">
        <f t="shared" si="144"/>
        <v>0</v>
      </c>
      <c r="H441" s="224">
        <f>IF(F441+G441=H423,1,0)</f>
        <v>0</v>
      </c>
      <c r="I441" s="224">
        <f>IF(F441+G441=I423,1,0)</f>
        <v>0</v>
      </c>
      <c r="J441" s="224">
        <f>IF(F441+G441=J423,1,0)</f>
        <v>0</v>
      </c>
      <c r="K441" s="224">
        <f>IF(F441+G441=K423,1,0)</f>
        <v>0</v>
      </c>
      <c r="L441" s="224">
        <f>IF(F441+G441=L423,1,0)</f>
        <v>0</v>
      </c>
      <c r="M441" s="224">
        <f>IF(F441+G441=M423,1,0)</f>
        <v>0</v>
      </c>
      <c r="N441" s="224">
        <f>IF(F441+G441=N423,1,0)</f>
        <v>0</v>
      </c>
      <c r="O441" s="224">
        <f>IF(F441+G441=O423,1,0)</f>
        <v>0</v>
      </c>
      <c r="P441" s="233">
        <f>IF(F441+G441=P423,2,IF(F441+G441=P423+1,1,0))</f>
        <v>0</v>
      </c>
      <c r="Q441" s="224">
        <f>IF(F441+G441=Q423,1,0)</f>
        <v>0</v>
      </c>
      <c r="R441" s="224">
        <f>IF(F441+G441=R423,1,0)</f>
        <v>0</v>
      </c>
      <c r="S441" s="224">
        <f>IF(WEEKDAY(F441+SUM($G$441:$R$441),2)=6,2,IF(WEEKDAY(F441+SUM($G$441:$R$441),2)=7,1,0))</f>
        <v>0</v>
      </c>
      <c r="T441" s="225">
        <f>SUM($F$441:$S$441)</f>
        <v>43881</v>
      </c>
      <c r="U441" s="225">
        <f t="shared" si="145"/>
        <v>44196</v>
      </c>
    </row>
    <row r="442" spans="1:21" ht="45" hidden="1">
      <c r="A442" s="156">
        <f t="shared" si="146"/>
        <v>1</v>
      </c>
      <c r="C442" s="225">
        <f t="shared" si="142"/>
        <v>43882</v>
      </c>
      <c r="F442" s="225">
        <f t="shared" si="143"/>
        <v>43882</v>
      </c>
      <c r="G442" s="224">
        <f t="shared" si="144"/>
        <v>0</v>
      </c>
      <c r="H442" s="224">
        <f>IF(F442+G442=H423,1,0)</f>
        <v>0</v>
      </c>
      <c r="I442" s="224">
        <f>IF(F442+G442=I423,1,0)</f>
        <v>0</v>
      </c>
      <c r="J442" s="224">
        <f>IF(F442+G442=J423,1,0)</f>
        <v>0</v>
      </c>
      <c r="K442" s="224">
        <f>IF(F442+G442=K423,1,0)</f>
        <v>0</v>
      </c>
      <c r="L442" s="224">
        <f>IF(F442+G442=L423,1,0)</f>
        <v>0</v>
      </c>
      <c r="M442" s="224">
        <f>IF(F442+G442=M423,1,0)</f>
        <v>0</v>
      </c>
      <c r="N442" s="224">
        <f>IF(F442+G442=N423,1,0)</f>
        <v>0</v>
      </c>
      <c r="O442" s="224">
        <f>IF(F442+G442=O423,1,0)</f>
        <v>0</v>
      </c>
      <c r="P442" s="233">
        <f>IF(F442+G442=P423,2,IF(F442+G442=P423+1,1,0))</f>
        <v>0</v>
      </c>
      <c r="Q442" s="224">
        <f>IF(F442+G442=Q423,1,0)</f>
        <v>0</v>
      </c>
      <c r="R442" s="224">
        <f>IF(F442+G442=R423,1,0)</f>
        <v>0</v>
      </c>
      <c r="S442" s="224">
        <f>IF(WEEKDAY(F442+SUM($G$442:$R$442),2)=6,2,IF(WEEKDAY(F442+SUM($G$442:$R$442),2)=7,1,0))</f>
        <v>0</v>
      </c>
      <c r="T442" s="225">
        <f>SUM($F$442:$S$442)</f>
        <v>43882</v>
      </c>
      <c r="U442" s="225">
        <f t="shared" si="145"/>
        <v>44196</v>
      </c>
    </row>
    <row r="443" spans="1:21" ht="45" hidden="1">
      <c r="A443" s="156">
        <f t="shared" si="146"/>
        <v>1</v>
      </c>
      <c r="C443" s="225">
        <f t="shared" si="142"/>
        <v>43885</v>
      </c>
      <c r="F443" s="225">
        <f t="shared" si="143"/>
        <v>43883</v>
      </c>
      <c r="G443" s="224">
        <f t="shared" si="144"/>
        <v>2</v>
      </c>
      <c r="H443" s="224">
        <f>IF(F443+G443=H423,1,0)</f>
        <v>0</v>
      </c>
      <c r="I443" s="224">
        <f>IF(F443+G443=I423,1,0)</f>
        <v>0</v>
      </c>
      <c r="J443" s="224">
        <f>IF(F443+G443=J423,1,0)</f>
        <v>0</v>
      </c>
      <c r="K443" s="224">
        <f>IF(F443+G443=K423,1,0)</f>
        <v>0</v>
      </c>
      <c r="L443" s="224">
        <f>IF(F443+G443=L423,1,0)</f>
        <v>0</v>
      </c>
      <c r="M443" s="224">
        <f>IF(F443+G443=M423,1,0)</f>
        <v>0</v>
      </c>
      <c r="N443" s="224">
        <f>IF(F443+G443=N423,1,0)</f>
        <v>0</v>
      </c>
      <c r="O443" s="224">
        <f>IF(F443+G443=O423,1,0)</f>
        <v>0</v>
      </c>
      <c r="P443" s="233">
        <f>IF(F443+G443=P423,2,IF(F443+G443=P423+1,1,0))</f>
        <v>0</v>
      </c>
      <c r="Q443" s="224">
        <f>IF(F443+G443=Q423,1,0)</f>
        <v>0</v>
      </c>
      <c r="R443" s="224">
        <f>IF(F443+G443=R423,1,0)</f>
        <v>0</v>
      </c>
      <c r="S443" s="224">
        <f>IF(WEEKDAY(F443+SUM($G$443:$R$443),2)=6,2,IF(WEEKDAY(F443+SUM($G$443:$R$443),2)=7,1,0))</f>
        <v>0</v>
      </c>
      <c r="T443" s="225">
        <f>SUM($F$443:$S$443)</f>
        <v>43885</v>
      </c>
      <c r="U443" s="225">
        <f t="shared" si="145"/>
        <v>44196</v>
      </c>
    </row>
    <row r="444" spans="1:21" ht="45" hidden="1">
      <c r="A444" s="156">
        <f t="shared" si="146"/>
        <v>1</v>
      </c>
      <c r="C444" s="225">
        <f t="shared" si="142"/>
        <v>43886</v>
      </c>
      <c r="F444" s="225">
        <f t="shared" si="143"/>
        <v>43886</v>
      </c>
      <c r="G444" s="224">
        <f t="shared" si="144"/>
        <v>0</v>
      </c>
      <c r="H444" s="224">
        <f>IF(F444+G444=H423,1,0)</f>
        <v>0</v>
      </c>
      <c r="I444" s="224">
        <f>IF(F444+G444=I423,1,0)</f>
        <v>0</v>
      </c>
      <c r="J444" s="224">
        <f>IF(F444+G444=J423,1,0)</f>
        <v>0</v>
      </c>
      <c r="K444" s="224">
        <f>IF(F444+G444=K423,1,0)</f>
        <v>0</v>
      </c>
      <c r="L444" s="224">
        <f>IF(F444+G444=L423,1,0)</f>
        <v>0</v>
      </c>
      <c r="M444" s="224">
        <f>IF(F444+G444=M423,1,0)</f>
        <v>0</v>
      </c>
      <c r="N444" s="224">
        <f>IF(F444+G444=N423,1,0)</f>
        <v>0</v>
      </c>
      <c r="O444" s="224">
        <f>IF(F444+G444=O423,1,0)</f>
        <v>0</v>
      </c>
      <c r="P444" s="224">
        <f>IF(F444+G444=P423,2,0)</f>
        <v>0</v>
      </c>
      <c r="Q444" s="224">
        <f>IF(F444+G444=Q423,1,0)</f>
        <v>0</v>
      </c>
      <c r="R444" s="224">
        <f>IF(F444+G444=R423,1,0)</f>
        <v>0</v>
      </c>
      <c r="S444" s="224">
        <f>IF(WEEKDAY(F444+SUM($G$444:$R$444),2)=6,2,IF(WEEKDAY(F444+SUM($G$444:$R$444),2)=7,1,0))</f>
        <v>0</v>
      </c>
      <c r="T444" s="225">
        <f>SUM($F$444:$S$444)</f>
        <v>43886</v>
      </c>
      <c r="U444" s="225">
        <f t="shared" si="145"/>
        <v>44196</v>
      </c>
    </row>
    <row r="445" spans="1:21" ht="45" hidden="1">
      <c r="A445" s="156">
        <f t="shared" si="146"/>
        <v>1</v>
      </c>
      <c r="C445" s="225">
        <f t="shared" si="142"/>
        <v>43887</v>
      </c>
      <c r="F445" s="225">
        <f t="shared" si="143"/>
        <v>43887</v>
      </c>
      <c r="G445" s="224">
        <f t="shared" si="144"/>
        <v>0</v>
      </c>
      <c r="H445" s="224">
        <f>IF(F445+G445=H423,1,0)</f>
        <v>0</v>
      </c>
      <c r="I445" s="224">
        <f>IF(F445+G445=I423,1,0)</f>
        <v>0</v>
      </c>
      <c r="J445" s="224">
        <f>IF(F445+G445=J423,1,0)</f>
        <v>0</v>
      </c>
      <c r="K445" s="224">
        <f>IF(F445+G445=K423,1,0)</f>
        <v>0</v>
      </c>
      <c r="L445" s="224">
        <f>IF(F445+G445=L423,1,0)</f>
        <v>0</v>
      </c>
      <c r="M445" s="224">
        <f>IF(F445+G445=M423,1,0)</f>
        <v>0</v>
      </c>
      <c r="N445" s="224">
        <f>IF(F445+G445=N423,1,0)</f>
        <v>0</v>
      </c>
      <c r="O445" s="224">
        <f>IF(F445+G445=O423,1,0)</f>
        <v>0</v>
      </c>
      <c r="P445" s="224">
        <f>IF(F445+G445=P423,2,0)</f>
        <v>0</v>
      </c>
      <c r="Q445" s="224">
        <f>IF(F445+G445=Q423,1,0)</f>
        <v>0</v>
      </c>
      <c r="R445" s="224">
        <f>IF(F445+G445=R423,1,0)</f>
        <v>0</v>
      </c>
      <c r="S445" s="224">
        <f>IF(WEEKDAY(F445+SUM($G$445:$R$445),2)=6,2,IF(WEEKDAY(F445+SUM($G$445:$R$445),2)=7,1,0))</f>
        <v>0</v>
      </c>
      <c r="T445" s="225">
        <f>SUM($F$445:$S$445)</f>
        <v>43887</v>
      </c>
      <c r="U445" s="225">
        <f t="shared" si="145"/>
        <v>44196</v>
      </c>
    </row>
    <row r="446" spans="1:21" ht="45" hidden="1">
      <c r="A446" s="156">
        <f t="shared" si="146"/>
        <v>1</v>
      </c>
      <c r="C446" s="225">
        <f t="shared" si="142"/>
        <v>43888</v>
      </c>
      <c r="F446" s="225">
        <f t="shared" si="143"/>
        <v>43888</v>
      </c>
      <c r="G446" s="224">
        <f t="shared" si="144"/>
        <v>0</v>
      </c>
      <c r="H446" s="224">
        <f>IF(F446+G446=H423,1,0)</f>
        <v>0</v>
      </c>
      <c r="I446" s="224">
        <f>IF(F446+G446=I423,1,0)</f>
        <v>0</v>
      </c>
      <c r="J446" s="224">
        <f>IF(F446+G446=J423,1,0)</f>
        <v>0</v>
      </c>
      <c r="K446" s="224">
        <f>IF(F446+G446=K423,1,0)</f>
        <v>0</v>
      </c>
      <c r="L446" s="224">
        <f>IF(F446+G446=L423,1,0)</f>
        <v>0</v>
      </c>
      <c r="M446" s="224">
        <f>IF(F446+G446=M423,1,0)</f>
        <v>0</v>
      </c>
      <c r="N446" s="224">
        <f>IF(F446+G446=N423,1,0)</f>
        <v>0</v>
      </c>
      <c r="O446" s="224">
        <f>IF(F446+G446=O423,1,0)</f>
        <v>0</v>
      </c>
      <c r="P446" s="224">
        <f>IF(F446+G446=P423,2,0)</f>
        <v>0</v>
      </c>
      <c r="Q446" s="224">
        <f>IF(F446+G446=Q423,1,0)</f>
        <v>0</v>
      </c>
      <c r="R446" s="224">
        <f>IF(F446+G446=R423,1,0)</f>
        <v>0</v>
      </c>
      <c r="S446" s="224">
        <f>IF(WEEKDAY(F446+SUM($G$446:$R$446),2)=6,2,IF(WEEKDAY(F446+SUM($G$446:$R$446),2)=7,1,0))</f>
        <v>0</v>
      </c>
      <c r="T446" s="225">
        <f>SUM($F$446:$S$446)</f>
        <v>43888</v>
      </c>
      <c r="U446" s="225">
        <f t="shared" si="145"/>
        <v>44196</v>
      </c>
    </row>
    <row r="447" spans="1:72" ht="45" hidden="1">
      <c r="A447" s="156">
        <f t="shared" si="146"/>
        <v>1</v>
      </c>
      <c r="C447" s="225">
        <f t="shared" si="142"/>
        <v>43889</v>
      </c>
      <c r="F447" s="225">
        <f t="shared" si="143"/>
        <v>43889</v>
      </c>
      <c r="G447" s="224">
        <f t="shared" si="144"/>
        <v>0</v>
      </c>
      <c r="H447" s="224">
        <f>IF(F447+G447=H423,1,0)</f>
        <v>0</v>
      </c>
      <c r="I447" s="224">
        <f>IF(F447+G447=I423,1,0)</f>
        <v>0</v>
      </c>
      <c r="J447" s="224">
        <f>IF(F447+G447=J423,1,0)</f>
        <v>0</v>
      </c>
      <c r="K447" s="224">
        <f>IF(F447+G447=K423,1,0)</f>
        <v>0</v>
      </c>
      <c r="L447" s="224">
        <f>IF(F447+G447=L423,1,0)</f>
        <v>0</v>
      </c>
      <c r="M447" s="224">
        <f>IF(F447+G447=M423,1,0)</f>
        <v>0</v>
      </c>
      <c r="N447" s="224">
        <f>IF(F447+G447=N423,1,0)</f>
        <v>0</v>
      </c>
      <c r="O447" s="224">
        <f>IF(F447+G447=O423,1,0)</f>
        <v>0</v>
      </c>
      <c r="P447" s="224">
        <f>IF(F447+G447=P423,2,0)</f>
        <v>0</v>
      </c>
      <c r="Q447" s="224">
        <f>IF(F447+G447=Q423,1,0)</f>
        <v>0</v>
      </c>
      <c r="R447" s="224">
        <f>IF(F447+G447=R423,1,0)</f>
        <v>0</v>
      </c>
      <c r="S447" s="224">
        <f>IF(WEEKDAY(F447+SUM($G$447:$R$447),2)=6,2,IF(WEEKDAY(F447+SUM($G$447:$R$447),2)=7,1,0))</f>
        <v>0</v>
      </c>
      <c r="T447" s="225">
        <f>SUM($F$447:$S$447)</f>
        <v>43889</v>
      </c>
      <c r="U447" s="225">
        <f t="shared" si="145"/>
        <v>44196</v>
      </c>
      <c r="W447" s="364"/>
      <c r="X447" s="364"/>
      <c r="Y447" s="364"/>
      <c r="Z447" s="364"/>
      <c r="AA447" s="364"/>
      <c r="AB447" s="364"/>
      <c r="AC447" s="364"/>
      <c r="AD447" s="364"/>
      <c r="AE447" s="364"/>
      <c r="AF447" s="364"/>
      <c r="AG447" s="364"/>
      <c r="AH447" s="364"/>
      <c r="AI447" s="364"/>
      <c r="AJ447" s="364"/>
      <c r="AK447" s="364"/>
      <c r="AL447" s="364"/>
      <c r="AM447" s="364"/>
      <c r="AN447" s="364"/>
      <c r="AO447" s="364"/>
      <c r="AP447" s="364"/>
      <c r="AQ447" s="364"/>
      <c r="AR447" s="364"/>
      <c r="AS447" s="364"/>
      <c r="AT447" s="364"/>
      <c r="AU447" s="364"/>
      <c r="AV447" s="364"/>
      <c r="AW447" s="364"/>
      <c r="AX447" s="364"/>
      <c r="AY447" s="364"/>
      <c r="AZ447" s="364"/>
      <c r="BA447" s="364"/>
      <c r="BB447" s="364"/>
      <c r="BC447" s="364"/>
      <c r="BD447" s="364"/>
      <c r="BE447" s="364"/>
      <c r="BF447" s="364"/>
      <c r="BG447" s="364"/>
      <c r="BH447" s="364"/>
      <c r="BI447" s="364"/>
      <c r="BJ447" s="364"/>
      <c r="BK447" s="364"/>
      <c r="BL447" s="364"/>
      <c r="BM447" s="364"/>
      <c r="BN447" s="364"/>
      <c r="BO447" s="364"/>
      <c r="BP447" s="364"/>
      <c r="BQ447" s="364"/>
      <c r="BR447" s="364"/>
      <c r="BS447" s="364"/>
      <c r="BT447" s="364"/>
    </row>
    <row r="448" spans="1:72" ht="45" hidden="1">
      <c r="A448" s="156">
        <f t="shared" si="146"/>
        <v>1</v>
      </c>
      <c r="C448" s="225">
        <f t="shared" si="142"/>
        <v>43892</v>
      </c>
      <c r="F448" s="225">
        <f t="shared" si="143"/>
        <v>43890</v>
      </c>
      <c r="G448" s="224">
        <f t="shared" si="144"/>
        <v>2</v>
      </c>
      <c r="H448" s="224">
        <f>IF(F448+G448=H423,1,0)</f>
        <v>0</v>
      </c>
      <c r="I448" s="224">
        <f>IF(F448+G448=I423,1,0)</f>
        <v>0</v>
      </c>
      <c r="J448" s="224">
        <f>IF(F448+G448=J423,1,0)</f>
        <v>0</v>
      </c>
      <c r="K448" s="224">
        <f>IF(F448+G448=K423,1,0)</f>
        <v>0</v>
      </c>
      <c r="L448" s="224">
        <f>IF(F448+G448=L423,1,0)</f>
        <v>0</v>
      </c>
      <c r="M448" s="224">
        <f>IF(F448+G448=M423,1,0)</f>
        <v>0</v>
      </c>
      <c r="N448" s="224">
        <f>IF(F448+G448=N423,1,0)</f>
        <v>0</v>
      </c>
      <c r="O448" s="224">
        <f>IF(F448+G448=O423,1,0)</f>
        <v>0</v>
      </c>
      <c r="P448" s="224">
        <f>IF(F448+G448=P423,2,0)</f>
        <v>0</v>
      </c>
      <c r="Q448" s="224">
        <f>IF(F448+G448=Q423,1,0)</f>
        <v>0</v>
      </c>
      <c r="R448" s="224">
        <f>IF(F448+G448=R423,1,0)</f>
        <v>0</v>
      </c>
      <c r="S448" s="224">
        <f>IF(WEEKDAY(F448+SUM($G$448:$R$448),2)=6,2,IF(WEEKDAY(F448+SUM($G$448:$R$448),2)=7,1,0))</f>
        <v>0</v>
      </c>
      <c r="T448" s="225">
        <f>SUM($F$448:$S$448)</f>
        <v>43892</v>
      </c>
      <c r="U448" s="225">
        <f t="shared" si="145"/>
        <v>44196</v>
      </c>
      <c r="W448" s="364"/>
      <c r="X448" s="364"/>
      <c r="Y448" s="364"/>
      <c r="Z448" s="364"/>
      <c r="AA448" s="364"/>
      <c r="AB448" s="364"/>
      <c r="AC448" s="364"/>
      <c r="AD448" s="364"/>
      <c r="AE448" s="364"/>
      <c r="AF448" s="364"/>
      <c r="AG448" s="364"/>
      <c r="AH448" s="364"/>
      <c r="AI448" s="364"/>
      <c r="AJ448" s="364"/>
      <c r="AK448" s="364"/>
      <c r="AL448" s="364"/>
      <c r="AM448" s="364"/>
      <c r="AN448" s="364"/>
      <c r="AO448" s="364"/>
      <c r="AP448" s="364"/>
      <c r="AQ448" s="364"/>
      <c r="AR448" s="364"/>
      <c r="AS448" s="364"/>
      <c r="AT448" s="364"/>
      <c r="AU448" s="364"/>
      <c r="AV448" s="364"/>
      <c r="AW448" s="364"/>
      <c r="AX448" s="364"/>
      <c r="AY448" s="364"/>
      <c r="AZ448" s="364"/>
      <c r="BA448" s="364"/>
      <c r="BB448" s="364"/>
      <c r="BC448" s="364"/>
      <c r="BD448" s="364"/>
      <c r="BE448" s="364"/>
      <c r="BF448" s="364"/>
      <c r="BG448" s="364"/>
      <c r="BH448" s="364"/>
      <c r="BI448" s="364"/>
      <c r="BJ448" s="364"/>
      <c r="BK448" s="364"/>
      <c r="BL448" s="364"/>
      <c r="BM448" s="364"/>
      <c r="BN448" s="364"/>
      <c r="BO448" s="364"/>
      <c r="BP448" s="364"/>
      <c r="BQ448" s="364"/>
      <c r="BR448" s="364"/>
      <c r="BS448" s="364"/>
      <c r="BT448" s="364"/>
    </row>
    <row r="449" spans="1:72" ht="45" hidden="1">
      <c r="A449" s="156">
        <f t="shared" si="146"/>
        <v>1</v>
      </c>
      <c r="C449" s="225">
        <f t="shared" si="142"/>
        <v>43893</v>
      </c>
      <c r="F449" s="225">
        <f t="shared" si="143"/>
        <v>43893</v>
      </c>
      <c r="G449" s="224">
        <f t="shared" si="144"/>
        <v>0</v>
      </c>
      <c r="H449" s="224">
        <f>IF(F449+G449=H423,1,0)</f>
        <v>0</v>
      </c>
      <c r="I449" s="224">
        <f>IF(F449+G449=I423,1,0)</f>
        <v>0</v>
      </c>
      <c r="J449" s="224">
        <f>IF(F449+G449=J423,1,0)</f>
        <v>0</v>
      </c>
      <c r="K449" s="224">
        <f>IF(F449+G449=K423,1,0)</f>
        <v>0</v>
      </c>
      <c r="L449" s="224">
        <f>IF(F449+G449=L423,1,0)</f>
        <v>0</v>
      </c>
      <c r="M449" s="224">
        <f>IF(F449+G449=M423,1,0)</f>
        <v>0</v>
      </c>
      <c r="N449" s="224">
        <f>IF(F449+G449=N423,1,0)</f>
        <v>0</v>
      </c>
      <c r="O449" s="224">
        <f>IF(F449+G449=O423,1,0)</f>
        <v>0</v>
      </c>
      <c r="P449" s="224">
        <f>IF(F449+G449=P423,2,0)</f>
        <v>0</v>
      </c>
      <c r="Q449" s="224">
        <f>IF(F449+G449=Q423,1,0)</f>
        <v>0</v>
      </c>
      <c r="R449" s="224">
        <f>IF(F449+G449=R423,1,0)</f>
        <v>0</v>
      </c>
      <c r="S449" s="224">
        <f>IF(WEEKDAY(F449+SUM($G$449:$R$449),2)=6,2,IF(WEEKDAY(F449+SUM($G$449:$R$449),2)=7,1,0))</f>
        <v>0</v>
      </c>
      <c r="T449" s="225">
        <f>SUM($F$449:$S$449)</f>
        <v>43893</v>
      </c>
      <c r="U449" s="225">
        <f t="shared" si="145"/>
        <v>44196</v>
      </c>
      <c r="W449" s="364"/>
      <c r="X449" s="364"/>
      <c r="Y449" s="364"/>
      <c r="Z449" s="364"/>
      <c r="AA449" s="364"/>
      <c r="AB449" s="364"/>
      <c r="AC449" s="364"/>
      <c r="AD449" s="364"/>
      <c r="AE449" s="364"/>
      <c r="AF449" s="364"/>
      <c r="AG449" s="364"/>
      <c r="AH449" s="364"/>
      <c r="AI449" s="364"/>
      <c r="AJ449" s="364"/>
      <c r="AK449" s="364"/>
      <c r="AL449" s="364"/>
      <c r="AM449" s="364"/>
      <c r="AN449" s="364"/>
      <c r="AO449" s="364"/>
      <c r="AP449" s="364"/>
      <c r="AQ449" s="364"/>
      <c r="AR449" s="364"/>
      <c r="AS449" s="364"/>
      <c r="AT449" s="364"/>
      <c r="AU449" s="364"/>
      <c r="AV449" s="364"/>
      <c r="AW449" s="364"/>
      <c r="AX449" s="364"/>
      <c r="AY449" s="364"/>
      <c r="AZ449" s="364"/>
      <c r="BA449" s="364"/>
      <c r="BB449" s="364"/>
      <c r="BC449" s="364"/>
      <c r="BD449" s="364"/>
      <c r="BE449" s="364"/>
      <c r="BF449" s="364"/>
      <c r="BG449" s="364"/>
      <c r="BH449" s="364"/>
      <c r="BI449" s="364"/>
      <c r="BJ449" s="364"/>
      <c r="BK449" s="364"/>
      <c r="BL449" s="364"/>
      <c r="BM449" s="364"/>
      <c r="BN449" s="364"/>
      <c r="BO449" s="364"/>
      <c r="BP449" s="364"/>
      <c r="BQ449" s="364"/>
      <c r="BR449" s="364"/>
      <c r="BS449" s="364"/>
      <c r="BT449" s="364"/>
    </row>
    <row r="450" spans="1:72" ht="45" hidden="1">
      <c r="A450" s="156">
        <f t="shared" si="146"/>
        <v>1</v>
      </c>
      <c r="C450" s="225">
        <f t="shared" si="142"/>
        <v>43894</v>
      </c>
      <c r="F450" s="225">
        <f t="shared" si="143"/>
        <v>43894</v>
      </c>
      <c r="G450" s="224">
        <f t="shared" si="144"/>
        <v>0</v>
      </c>
      <c r="H450" s="224">
        <f>IF(F450+G450=H423,1,0)</f>
        <v>0</v>
      </c>
      <c r="I450" s="224">
        <f>IF(F450+G450=I423,1,0)</f>
        <v>0</v>
      </c>
      <c r="J450" s="224">
        <f>IF(F450+G450=J423,1,0)</f>
        <v>0</v>
      </c>
      <c r="K450" s="224">
        <f>IF(F450+G450=K423,1,0)</f>
        <v>0</v>
      </c>
      <c r="L450" s="224">
        <f>IF(F450+G450=L423,1,0)</f>
        <v>0</v>
      </c>
      <c r="M450" s="224">
        <f>IF(F450+G450=M423,1,0)</f>
        <v>0</v>
      </c>
      <c r="N450" s="224">
        <f>IF(F450+G450=N423,1,0)</f>
        <v>0</v>
      </c>
      <c r="O450" s="224">
        <f>IF(F450+G450=O423,1,0)</f>
        <v>0</v>
      </c>
      <c r="P450" s="224">
        <f>IF(F450+G450=P423,2,0)</f>
        <v>0</v>
      </c>
      <c r="Q450" s="224">
        <f>IF(F450+G450=Q423,1,0)</f>
        <v>0</v>
      </c>
      <c r="R450" s="224">
        <f>IF(F450+G450=R423,1,0)</f>
        <v>0</v>
      </c>
      <c r="S450" s="224">
        <f>IF(WEEKDAY(F450+SUM($G$450:$R$450),2)=6,2,IF(WEEKDAY(F450+SUM($G$450:$R$450),2)=7,1,0))</f>
        <v>0</v>
      </c>
      <c r="T450" s="225">
        <f>SUM($F$450:$S$450)</f>
        <v>43894</v>
      </c>
      <c r="U450" s="225">
        <f t="shared" si="145"/>
        <v>44196</v>
      </c>
      <c r="W450" s="364"/>
      <c r="X450" s="364"/>
      <c r="Y450" s="364"/>
      <c r="Z450" s="364"/>
      <c r="AA450" s="364"/>
      <c r="AB450" s="364"/>
      <c r="AC450" s="364"/>
      <c r="AD450" s="364"/>
      <c r="AE450" s="364"/>
      <c r="AF450" s="364"/>
      <c r="AG450" s="364"/>
      <c r="AH450" s="364"/>
      <c r="AI450" s="364"/>
      <c r="AJ450" s="364"/>
      <c r="AK450" s="364"/>
      <c r="AL450" s="364"/>
      <c r="AM450" s="364"/>
      <c r="AN450" s="364"/>
      <c r="AO450" s="364"/>
      <c r="AP450" s="364"/>
      <c r="AQ450" s="364"/>
      <c r="AR450" s="364"/>
      <c r="AS450" s="364"/>
      <c r="AT450" s="364"/>
      <c r="AU450" s="364"/>
      <c r="AV450" s="364"/>
      <c r="AW450" s="364"/>
      <c r="AX450" s="364"/>
      <c r="AY450" s="364"/>
      <c r="AZ450" s="364"/>
      <c r="BA450" s="364"/>
      <c r="BB450" s="364"/>
      <c r="BC450" s="364"/>
      <c r="BD450" s="364"/>
      <c r="BE450" s="364"/>
      <c r="BF450" s="364"/>
      <c r="BG450" s="364"/>
      <c r="BH450" s="364"/>
      <c r="BI450" s="364"/>
      <c r="BJ450" s="364"/>
      <c r="BK450" s="364"/>
      <c r="BL450" s="364"/>
      <c r="BM450" s="364"/>
      <c r="BN450" s="364"/>
      <c r="BO450" s="364"/>
      <c r="BP450" s="364"/>
      <c r="BQ450" s="364"/>
      <c r="BR450" s="364"/>
      <c r="BS450" s="364"/>
      <c r="BT450" s="364"/>
    </row>
    <row r="451" spans="1:72" ht="45" hidden="1">
      <c r="A451" s="156">
        <f t="shared" si="146"/>
        <v>1</v>
      </c>
      <c r="C451" s="225">
        <f t="shared" si="142"/>
        <v>43895</v>
      </c>
      <c r="F451" s="225">
        <f t="shared" si="143"/>
        <v>43895</v>
      </c>
      <c r="G451" s="224">
        <f t="shared" si="144"/>
        <v>0</v>
      </c>
      <c r="H451" s="224">
        <f>IF(F451+G451=H423,1,0)</f>
        <v>0</v>
      </c>
      <c r="I451" s="224">
        <f>IF(F451+G451=I423,1,0)</f>
        <v>0</v>
      </c>
      <c r="J451" s="224">
        <f>IF(F451+G451=J423,1,0)</f>
        <v>0</v>
      </c>
      <c r="K451" s="224">
        <f>IF(F451+G451=K423,1,0)</f>
        <v>0</v>
      </c>
      <c r="L451" s="224">
        <f>IF(F451+G451=L423,1,0)</f>
        <v>0</v>
      </c>
      <c r="M451" s="224">
        <f>IF(F451+G451=M423,1,0)</f>
        <v>0</v>
      </c>
      <c r="N451" s="224">
        <f>IF(F451+G451=N423,1,0)</f>
        <v>0</v>
      </c>
      <c r="O451" s="224">
        <f>IF(F451+G451=O423,1,0)</f>
        <v>0</v>
      </c>
      <c r="P451" s="224">
        <f>IF(F451+G451=P423,2,0)</f>
        <v>0</v>
      </c>
      <c r="Q451" s="224">
        <f>IF(F451+G451=Q423,1,0)</f>
        <v>0</v>
      </c>
      <c r="R451" s="224">
        <f>IF(F451+G451=R423,1,0)</f>
        <v>0</v>
      </c>
      <c r="S451" s="224">
        <f>IF(WEEKDAY(F451+SUM($G$451:$R$451),2)=6,2,IF(WEEKDAY(F451+SUM($G$451:$R$451),2)=7,1,0))</f>
        <v>0</v>
      </c>
      <c r="T451" s="225">
        <f>SUM($F$451:$S$451)</f>
        <v>43895</v>
      </c>
      <c r="U451" s="225">
        <f t="shared" si="145"/>
        <v>44196</v>
      </c>
      <c r="W451" s="364"/>
      <c r="X451" s="364"/>
      <c r="Y451" s="364"/>
      <c r="Z451" s="364"/>
      <c r="AA451" s="364"/>
      <c r="AB451" s="364"/>
      <c r="AC451" s="364"/>
      <c r="AD451" s="364"/>
      <c r="AE451" s="364"/>
      <c r="AF451" s="364"/>
      <c r="AG451" s="364"/>
      <c r="AH451" s="364"/>
      <c r="AI451" s="364"/>
      <c r="AJ451" s="364"/>
      <c r="AK451" s="364"/>
      <c r="AL451" s="364"/>
      <c r="AM451" s="364"/>
      <c r="AN451" s="364"/>
      <c r="AO451" s="364"/>
      <c r="AP451" s="364"/>
      <c r="AQ451" s="364"/>
      <c r="AR451" s="364"/>
      <c r="AS451" s="364"/>
      <c r="AT451" s="364"/>
      <c r="AU451" s="364"/>
      <c r="AV451" s="364"/>
      <c r="AW451" s="364"/>
      <c r="AX451" s="364"/>
      <c r="AY451" s="364"/>
      <c r="AZ451" s="364"/>
      <c r="BA451" s="364"/>
      <c r="BB451" s="364"/>
      <c r="BC451" s="364"/>
      <c r="BD451" s="364"/>
      <c r="BE451" s="364"/>
      <c r="BF451" s="364"/>
      <c r="BG451" s="364"/>
      <c r="BH451" s="364"/>
      <c r="BI451" s="364"/>
      <c r="BJ451" s="364"/>
      <c r="BK451" s="364"/>
      <c r="BL451" s="364"/>
      <c r="BM451" s="364"/>
      <c r="BN451" s="364"/>
      <c r="BO451" s="364"/>
      <c r="BP451" s="364"/>
      <c r="BQ451" s="364"/>
      <c r="BR451" s="364"/>
      <c r="BS451" s="364"/>
      <c r="BT451" s="364"/>
    </row>
    <row r="452" spans="1:72" ht="45" hidden="1">
      <c r="A452" s="156">
        <f t="shared" si="146"/>
        <v>1</v>
      </c>
      <c r="C452" s="225">
        <f t="shared" si="142"/>
        <v>43896</v>
      </c>
      <c r="F452" s="225">
        <f t="shared" si="143"/>
        <v>43896</v>
      </c>
      <c r="G452" s="224">
        <f t="shared" si="144"/>
        <v>0</v>
      </c>
      <c r="H452" s="224">
        <f>IF(F452+G452=H423,1,0)</f>
        <v>0</v>
      </c>
      <c r="I452" s="224">
        <f>IF(F452+G452=I423,1,0)</f>
        <v>0</v>
      </c>
      <c r="J452" s="224">
        <f>IF(F452+G452=J423,1,0)</f>
        <v>0</v>
      </c>
      <c r="K452" s="224">
        <f>IF(F452+G452=K423,1,0)</f>
        <v>0</v>
      </c>
      <c r="L452" s="224">
        <f>IF(F452+G452=L423,1,0)</f>
        <v>0</v>
      </c>
      <c r="M452" s="224">
        <f>IF(F452+G452=M423,1,0)</f>
        <v>0</v>
      </c>
      <c r="N452" s="224">
        <f>IF(F452+G452=N423,1,0)</f>
        <v>0</v>
      </c>
      <c r="O452" s="224">
        <f>IF(F452+G452=O423,1,0)</f>
        <v>0</v>
      </c>
      <c r="P452" s="224">
        <f>IF(F452+G452=P423,2,0)</f>
        <v>0</v>
      </c>
      <c r="Q452" s="224">
        <f>IF(F452+G452=Q423,1,0)</f>
        <v>0</v>
      </c>
      <c r="R452" s="224">
        <f>IF(F452+G452=R423,1,0)</f>
        <v>0</v>
      </c>
      <c r="S452" s="224">
        <f>IF(WEEKDAY(F452+SUM($G$452:$R$452),2)=6,2,IF(WEEKDAY(F452+SUM($G$452:$R$452),2)=7,1,0))</f>
        <v>0</v>
      </c>
      <c r="T452" s="225">
        <f>SUM($F$452:$S$452)</f>
        <v>43896</v>
      </c>
      <c r="U452" s="225">
        <f t="shared" si="145"/>
        <v>44196</v>
      </c>
      <c r="W452" s="364"/>
      <c r="X452" s="364"/>
      <c r="Y452" s="364"/>
      <c r="Z452" s="364"/>
      <c r="AA452" s="364"/>
      <c r="AB452" s="364"/>
      <c r="AC452" s="364"/>
      <c r="AD452" s="364"/>
      <c r="AE452" s="364"/>
      <c r="AF452" s="364"/>
      <c r="AG452" s="364"/>
      <c r="AH452" s="364"/>
      <c r="AI452" s="364"/>
      <c r="AJ452" s="364"/>
      <c r="AK452" s="364"/>
      <c r="AL452" s="364"/>
      <c r="AM452" s="364"/>
      <c r="AN452" s="364"/>
      <c r="AO452" s="364"/>
      <c r="AP452" s="364"/>
      <c r="AQ452" s="364"/>
      <c r="AR452" s="364"/>
      <c r="AS452" s="364"/>
      <c r="AT452" s="364"/>
      <c r="AU452" s="364"/>
      <c r="AV452" s="364"/>
      <c r="AW452" s="364"/>
      <c r="AX452" s="364"/>
      <c r="AY452" s="364"/>
      <c r="AZ452" s="364"/>
      <c r="BA452" s="364"/>
      <c r="BB452" s="364"/>
      <c r="BC452" s="364"/>
      <c r="BD452" s="364"/>
      <c r="BE452" s="364"/>
      <c r="BF452" s="364"/>
      <c r="BG452" s="364"/>
      <c r="BH452" s="364"/>
      <c r="BI452" s="364"/>
      <c r="BJ452" s="364"/>
      <c r="BK452" s="364"/>
      <c r="BL452" s="364"/>
      <c r="BM452" s="364"/>
      <c r="BN452" s="364"/>
      <c r="BO452" s="364"/>
      <c r="BP452" s="364"/>
      <c r="BQ452" s="364"/>
      <c r="BR452" s="364"/>
      <c r="BS452" s="364"/>
      <c r="BT452" s="364"/>
    </row>
    <row r="453" spans="1:72" ht="45" hidden="1">
      <c r="A453" s="156">
        <f t="shared" si="146"/>
        <v>1</v>
      </c>
      <c r="C453" s="225">
        <f t="shared" si="142"/>
        <v>43899</v>
      </c>
      <c r="F453" s="225">
        <f t="shared" si="143"/>
        <v>43897</v>
      </c>
      <c r="G453" s="224">
        <f t="shared" si="144"/>
        <v>2</v>
      </c>
      <c r="H453" s="224">
        <f>IF(F453+G453=H423,1,0)</f>
        <v>0</v>
      </c>
      <c r="I453" s="224">
        <f>IF(F453+G453=I423,1,0)</f>
        <v>0</v>
      </c>
      <c r="J453" s="224">
        <f>IF(F453+G453=J423,1,0)</f>
        <v>0</v>
      </c>
      <c r="K453" s="224">
        <f>IF(F453+G453=K423,1,0)</f>
        <v>0</v>
      </c>
      <c r="L453" s="224">
        <f>IF(F453+G453=L423,1,0)</f>
        <v>0</v>
      </c>
      <c r="M453" s="224">
        <f>IF(F453+G453=M423,1,0)</f>
        <v>0</v>
      </c>
      <c r="N453" s="224">
        <f>IF(F453+G453=N423,1,0)</f>
        <v>0</v>
      </c>
      <c r="O453" s="224">
        <f>IF(F453+G453=O423,1,0)</f>
        <v>0</v>
      </c>
      <c r="P453" s="224">
        <f>IF(F453+G453=P423,2,0)</f>
        <v>0</v>
      </c>
      <c r="Q453" s="224">
        <f>IF(F453+G453=Q423,1,0)</f>
        <v>0</v>
      </c>
      <c r="R453" s="224">
        <f>IF(F453+G453=R423,1,0)</f>
        <v>0</v>
      </c>
      <c r="S453" s="224">
        <f>IF(WEEKDAY(F453+SUM($G$453:$R$453),2)=6,2,IF(WEEKDAY(F453+SUM($G$453:$R$453),2)=7,1,0))</f>
        <v>0</v>
      </c>
      <c r="T453" s="225">
        <f>SUM($F$453:$S$453)</f>
        <v>43899</v>
      </c>
      <c r="U453" s="225">
        <f t="shared" si="145"/>
        <v>44196</v>
      </c>
      <c r="W453" s="364"/>
      <c r="X453" s="364"/>
      <c r="Y453" s="364"/>
      <c r="Z453" s="364"/>
      <c r="AA453" s="364"/>
      <c r="AB453" s="364"/>
      <c r="AC453" s="364"/>
      <c r="AD453" s="364"/>
      <c r="AE453" s="364"/>
      <c r="AF453" s="364"/>
      <c r="AG453" s="364"/>
      <c r="AH453" s="364"/>
      <c r="AI453" s="364"/>
      <c r="AJ453" s="364"/>
      <c r="AK453" s="364"/>
      <c r="AL453" s="364"/>
      <c r="AM453" s="364"/>
      <c r="AN453" s="364"/>
      <c r="AO453" s="364"/>
      <c r="AP453" s="364"/>
      <c r="AQ453" s="364"/>
      <c r="AR453" s="364"/>
      <c r="AS453" s="364"/>
      <c r="AT453" s="364"/>
      <c r="AU453" s="364"/>
      <c r="AV453" s="364"/>
      <c r="AW453" s="364"/>
      <c r="AX453" s="364"/>
      <c r="AY453" s="364"/>
      <c r="AZ453" s="364"/>
      <c r="BA453" s="364"/>
      <c r="BB453" s="364"/>
      <c r="BC453" s="364"/>
      <c r="BD453" s="364"/>
      <c r="BE453" s="364"/>
      <c r="BF453" s="364"/>
      <c r="BG453" s="364"/>
      <c r="BH453" s="364"/>
      <c r="BI453" s="364"/>
      <c r="BJ453" s="364"/>
      <c r="BK453" s="364"/>
      <c r="BL453" s="364"/>
      <c r="BM453" s="364"/>
      <c r="BN453" s="364"/>
      <c r="BO453" s="364"/>
      <c r="BP453" s="364"/>
      <c r="BQ453" s="364"/>
      <c r="BR453" s="364"/>
      <c r="BS453" s="364"/>
      <c r="BT453" s="364"/>
    </row>
    <row r="454" spans="1:72" ht="45" hidden="1">
      <c r="A454" s="156">
        <f t="shared" si="146"/>
        <v>1</v>
      </c>
      <c r="C454" s="225">
        <f t="shared" si="142"/>
        <v>43900</v>
      </c>
      <c r="F454" s="225">
        <f t="shared" si="143"/>
        <v>43900</v>
      </c>
      <c r="G454" s="224">
        <f t="shared" si="144"/>
        <v>0</v>
      </c>
      <c r="H454" s="224">
        <f>IF(F454+G454=H423,1,0)</f>
        <v>0</v>
      </c>
      <c r="I454" s="224">
        <f>IF(F454+G454=I423,1,0)</f>
        <v>0</v>
      </c>
      <c r="J454" s="224">
        <f>IF(F454+G454=J423,1,0)</f>
        <v>0</v>
      </c>
      <c r="K454" s="224">
        <f>IF(F454+G454=K423,1,0)</f>
        <v>0</v>
      </c>
      <c r="L454" s="224">
        <f>IF(F454+G454=L423,1,0)</f>
        <v>0</v>
      </c>
      <c r="M454" s="224">
        <f>IF(F454+G454=M423,1,0)</f>
        <v>0</v>
      </c>
      <c r="N454" s="224">
        <f>IF(F454+G454=N423,1,0)</f>
        <v>0</v>
      </c>
      <c r="O454" s="224">
        <f>IF(F454+G454=O423,1,0)</f>
        <v>0</v>
      </c>
      <c r="P454" s="224">
        <f>IF(F454+G454=P423,2,0)</f>
        <v>0</v>
      </c>
      <c r="Q454" s="224">
        <f>IF(F454+G454=Q423,1,0)</f>
        <v>0</v>
      </c>
      <c r="R454" s="224">
        <f>IF(F454+G454=R423,1,0)</f>
        <v>0</v>
      </c>
      <c r="S454" s="224">
        <f>IF(WEEKDAY(F454+SUM($G$454:$R$454),2)=6,2,IF(WEEKDAY(F454+SUM($G$454:$R$454),2)=7,1,0))</f>
        <v>0</v>
      </c>
      <c r="T454" s="225">
        <f>SUM($F$454:$S$454)</f>
        <v>43900</v>
      </c>
      <c r="U454" s="225">
        <f t="shared" si="145"/>
        <v>44196</v>
      </c>
      <c r="W454" s="364"/>
      <c r="X454" s="364"/>
      <c r="Y454" s="364"/>
      <c r="Z454" s="364"/>
      <c r="AA454" s="364"/>
      <c r="AB454" s="364"/>
      <c r="AC454" s="364"/>
      <c r="AD454" s="364"/>
      <c r="AE454" s="364"/>
      <c r="AF454" s="364"/>
      <c r="AG454" s="364"/>
      <c r="AH454" s="364"/>
      <c r="AI454" s="364"/>
      <c r="AJ454" s="364"/>
      <c r="AK454" s="364"/>
      <c r="AL454" s="364"/>
      <c r="AM454" s="364"/>
      <c r="AN454" s="364"/>
      <c r="AO454" s="364"/>
      <c r="AP454" s="364"/>
      <c r="AQ454" s="364"/>
      <c r="AR454" s="364"/>
      <c r="AS454" s="364"/>
      <c r="AT454" s="364"/>
      <c r="AU454" s="364"/>
      <c r="AV454" s="364"/>
      <c r="AW454" s="364"/>
      <c r="AX454" s="364"/>
      <c r="AY454" s="364"/>
      <c r="AZ454" s="364"/>
      <c r="BA454" s="364"/>
      <c r="BB454" s="364"/>
      <c r="BC454" s="364"/>
      <c r="BD454" s="364"/>
      <c r="BE454" s="364"/>
      <c r="BF454" s="364"/>
      <c r="BG454" s="364"/>
      <c r="BH454" s="364"/>
      <c r="BI454" s="364"/>
      <c r="BJ454" s="364"/>
      <c r="BK454" s="364"/>
      <c r="BL454" s="364"/>
      <c r="BM454" s="364"/>
      <c r="BN454" s="364"/>
      <c r="BO454" s="364"/>
      <c r="BP454" s="364"/>
      <c r="BQ454" s="364"/>
      <c r="BR454" s="364"/>
      <c r="BS454" s="364"/>
      <c r="BT454" s="364"/>
    </row>
    <row r="455" spans="1:72" ht="45" hidden="1">
      <c r="A455" s="156">
        <f t="shared" si="146"/>
        <v>1</v>
      </c>
      <c r="C455" s="225">
        <f t="shared" si="142"/>
        <v>43901</v>
      </c>
      <c r="F455" s="225">
        <f t="shared" si="143"/>
        <v>43901</v>
      </c>
      <c r="G455" s="224">
        <f t="shared" si="144"/>
        <v>0</v>
      </c>
      <c r="H455" s="224">
        <f>IF(F455+G455=H423,1,0)</f>
        <v>0</v>
      </c>
      <c r="I455" s="224">
        <f>IF(F455+G455=I423,1,0)</f>
        <v>0</v>
      </c>
      <c r="J455" s="224">
        <f>IF(F455+G455=J423,1,0)</f>
        <v>0</v>
      </c>
      <c r="K455" s="224">
        <f>IF(F455+G455=K423,1,0)</f>
        <v>0</v>
      </c>
      <c r="L455" s="224">
        <f>IF(F455+G455=L423,1,0)</f>
        <v>0</v>
      </c>
      <c r="M455" s="224">
        <f>IF(F455+G455=M423,1,0)</f>
        <v>0</v>
      </c>
      <c r="N455" s="224">
        <f>IF(F455+G455=N423,1,0)</f>
        <v>0</v>
      </c>
      <c r="O455" s="224">
        <f>IF(F455+G455=O423,1,0)</f>
        <v>0</v>
      </c>
      <c r="P455" s="224">
        <f>IF(F455+G455=P423,2,0)</f>
        <v>0</v>
      </c>
      <c r="Q455" s="224">
        <f>IF(F455+G455=Q423,1,0)</f>
        <v>0</v>
      </c>
      <c r="R455" s="224">
        <f>IF(F455+G455=R423,1,0)</f>
        <v>0</v>
      </c>
      <c r="S455" s="224">
        <f>IF(WEEKDAY(F455+SUM($G$455:$R$455),2)=6,2,IF(WEEKDAY(F455+SUM($G$455:$R$455),2)=7,1,0))</f>
        <v>0</v>
      </c>
      <c r="T455" s="225">
        <f>SUM($F$455:$S$455)</f>
        <v>43901</v>
      </c>
      <c r="U455" s="225">
        <f t="shared" si="145"/>
        <v>44196</v>
      </c>
      <c r="W455" s="364"/>
      <c r="X455" s="364"/>
      <c r="Y455" s="364"/>
      <c r="Z455" s="364"/>
      <c r="AA455" s="364"/>
      <c r="AB455" s="364"/>
      <c r="AC455" s="364"/>
      <c r="AD455" s="364"/>
      <c r="AE455" s="364"/>
      <c r="AF455" s="364"/>
      <c r="AG455" s="364"/>
      <c r="AH455" s="364"/>
      <c r="AI455" s="364"/>
      <c r="AJ455" s="364"/>
      <c r="AK455" s="364"/>
      <c r="AL455" s="364"/>
      <c r="AM455" s="364"/>
      <c r="AN455" s="364"/>
      <c r="AO455" s="364"/>
      <c r="AP455" s="364"/>
      <c r="AQ455" s="364"/>
      <c r="AR455" s="364"/>
      <c r="AS455" s="364"/>
      <c r="AT455" s="364"/>
      <c r="AU455" s="364"/>
      <c r="AV455" s="364"/>
      <c r="AW455" s="364"/>
      <c r="AX455" s="364"/>
      <c r="AY455" s="364"/>
      <c r="AZ455" s="364"/>
      <c r="BA455" s="364"/>
      <c r="BB455" s="364"/>
      <c r="BC455" s="364"/>
      <c r="BD455" s="364"/>
      <c r="BE455" s="364"/>
      <c r="BF455" s="364"/>
      <c r="BG455" s="364"/>
      <c r="BH455" s="364"/>
      <c r="BI455" s="364"/>
      <c r="BJ455" s="364"/>
      <c r="BK455" s="364"/>
      <c r="BL455" s="364"/>
      <c r="BM455" s="364"/>
      <c r="BN455" s="364"/>
      <c r="BO455" s="364"/>
      <c r="BP455" s="364"/>
      <c r="BQ455" s="364"/>
      <c r="BR455" s="364"/>
      <c r="BS455" s="364"/>
      <c r="BT455" s="364"/>
    </row>
    <row r="456" spans="1:72" ht="45" hidden="1">
      <c r="A456" s="156">
        <f t="shared" si="146"/>
        <v>1</v>
      </c>
      <c r="C456" s="225">
        <f t="shared" si="142"/>
        <v>43902</v>
      </c>
      <c r="F456" s="225">
        <f t="shared" si="143"/>
        <v>43902</v>
      </c>
      <c r="G456" s="224">
        <f t="shared" si="144"/>
        <v>0</v>
      </c>
      <c r="H456" s="224">
        <f>IF(F456+G456=H423,1,0)</f>
        <v>0</v>
      </c>
      <c r="I456" s="224">
        <f>IF(F456+G456=I423,1,0)</f>
        <v>0</v>
      </c>
      <c r="J456" s="224">
        <f>IF(F456+G456=J423,1,0)</f>
        <v>0</v>
      </c>
      <c r="K456" s="224">
        <f>IF(F456+G456=K423,1,0)</f>
        <v>0</v>
      </c>
      <c r="L456" s="224">
        <f>IF(F456+G456=L423,1,0)</f>
        <v>0</v>
      </c>
      <c r="M456" s="224">
        <f>IF(F456+G456=M423,1,0)</f>
        <v>0</v>
      </c>
      <c r="N456" s="224">
        <f>IF(F456+G456=N423,1,0)</f>
        <v>0</v>
      </c>
      <c r="O456" s="224">
        <f>IF(F456+G456=O423,1,0)</f>
        <v>0</v>
      </c>
      <c r="P456" s="224">
        <f>IF(F456+G456=P423,2,0)</f>
        <v>0</v>
      </c>
      <c r="Q456" s="224">
        <f>IF(F456+G456=Q423,1,0)</f>
        <v>0</v>
      </c>
      <c r="R456" s="224">
        <f>IF(F456+G456=R423,1,0)</f>
        <v>0</v>
      </c>
      <c r="S456" s="224">
        <f>IF(WEEKDAY(F456+SUM($G$456:$R$456),2)=6,2,IF(WEEKDAY(F456+SUM($G$456:$R$456),2)=7,1,0))</f>
        <v>0</v>
      </c>
      <c r="T456" s="225">
        <f>SUM($F$456:$S$456)</f>
        <v>43902</v>
      </c>
      <c r="U456" s="225">
        <f t="shared" si="145"/>
        <v>44196</v>
      </c>
      <c r="W456" s="364"/>
      <c r="X456" s="364"/>
      <c r="Y456" s="364"/>
      <c r="Z456" s="364"/>
      <c r="AA456" s="364"/>
      <c r="AB456" s="364"/>
      <c r="AC456" s="364"/>
      <c r="AD456" s="364"/>
      <c r="AE456" s="364"/>
      <c r="AF456" s="364"/>
      <c r="AG456" s="364"/>
      <c r="AH456" s="364"/>
      <c r="AI456" s="364"/>
      <c r="AJ456" s="364"/>
      <c r="AK456" s="364"/>
      <c r="AL456" s="364"/>
      <c r="AM456" s="364"/>
      <c r="AN456" s="364"/>
      <c r="AO456" s="364"/>
      <c r="AP456" s="364"/>
      <c r="AQ456" s="364"/>
      <c r="AR456" s="364"/>
      <c r="AS456" s="364"/>
      <c r="AT456" s="364"/>
      <c r="AU456" s="364"/>
      <c r="AV456" s="364"/>
      <c r="AW456" s="364"/>
      <c r="AX456" s="364"/>
      <c r="AY456" s="364"/>
      <c r="AZ456" s="364"/>
      <c r="BA456" s="364"/>
      <c r="BB456" s="364"/>
      <c r="BC456" s="364"/>
      <c r="BD456" s="364"/>
      <c r="BE456" s="364"/>
      <c r="BF456" s="364"/>
      <c r="BG456" s="364"/>
      <c r="BH456" s="364"/>
      <c r="BI456" s="364"/>
      <c r="BJ456" s="364"/>
      <c r="BK456" s="364"/>
      <c r="BL456" s="364"/>
      <c r="BM456" s="364"/>
      <c r="BN456" s="364"/>
      <c r="BO456" s="364"/>
      <c r="BP456" s="364"/>
      <c r="BQ456" s="364"/>
      <c r="BR456" s="364"/>
      <c r="BS456" s="364"/>
      <c r="BT456" s="364"/>
    </row>
    <row r="457" spans="1:72" ht="45" hidden="1">
      <c r="A457" s="156">
        <f t="shared" si="146"/>
        <v>1</v>
      </c>
      <c r="C457" s="225">
        <f aca="true" t="shared" si="147" ref="C457:C483">IF(T457&gt;U457,"",T457)</f>
        <v>43903</v>
      </c>
      <c r="F457" s="225">
        <f aca="true" t="shared" si="148" ref="F457:F483">T456+1</f>
        <v>43903</v>
      </c>
      <c r="G457" s="224">
        <f aca="true" t="shared" si="149" ref="G457:G488">IF(WEEKDAY(F457,2)=6,2,0)</f>
        <v>0</v>
      </c>
      <c r="H457" s="224">
        <f>IF(F457+G457=H423,1,0)</f>
        <v>0</v>
      </c>
      <c r="I457" s="224">
        <f>IF(F457+G457=I423,1,0)</f>
        <v>0</v>
      </c>
      <c r="J457" s="224">
        <f>IF(F457+G457=J423,1,0)</f>
        <v>0</v>
      </c>
      <c r="K457" s="224">
        <f>IF(F457+G457=K423,1,0)</f>
        <v>0</v>
      </c>
      <c r="L457" s="224">
        <f>IF(F457+G457=L423,1,0)</f>
        <v>0</v>
      </c>
      <c r="M457" s="224">
        <f>IF(F457+G457=M423,1,0)</f>
        <v>0</v>
      </c>
      <c r="N457" s="224">
        <f>IF(F457+G457=N423,1,0)</f>
        <v>0</v>
      </c>
      <c r="O457" s="224">
        <f>IF(F457+G457=O423,1,0)</f>
        <v>0</v>
      </c>
      <c r="P457" s="224">
        <f>IF(F457+G457=P423,2,0)</f>
        <v>0</v>
      </c>
      <c r="Q457" s="224">
        <f>IF(F457+G457=Q423,1,0)</f>
        <v>0</v>
      </c>
      <c r="R457" s="224">
        <f>IF(F457+G457=R423,1,0)</f>
        <v>0</v>
      </c>
      <c r="S457" s="224">
        <f>IF(WEEKDAY(F457+SUM($G$457:$R$457),2)=6,2,IF(WEEKDAY(F457+SUM($G$457:$R$457),2)=7,1,0))</f>
        <v>0</v>
      </c>
      <c r="T457" s="225">
        <f>SUM($F$457:$S$457)</f>
        <v>43903</v>
      </c>
      <c r="U457" s="225">
        <f aca="true" t="shared" si="150" ref="U457:U483">U456</f>
        <v>44196</v>
      </c>
      <c r="W457" s="364"/>
      <c r="X457" s="364"/>
      <c r="Y457" s="364"/>
      <c r="Z457" s="364"/>
      <c r="AA457" s="364"/>
      <c r="AB457" s="364"/>
      <c r="AC457" s="364"/>
      <c r="AD457" s="364"/>
      <c r="AE457" s="364"/>
      <c r="AF457" s="364"/>
      <c r="AG457" s="364"/>
      <c r="AH457" s="364"/>
      <c r="AI457" s="364"/>
      <c r="AJ457" s="364"/>
      <c r="AK457" s="364"/>
      <c r="AL457" s="364"/>
      <c r="AM457" s="364"/>
      <c r="AN457" s="364"/>
      <c r="AO457" s="364"/>
      <c r="AP457" s="364"/>
      <c r="AQ457" s="364"/>
      <c r="AR457" s="364"/>
      <c r="AS457" s="364"/>
      <c r="AT457" s="364"/>
      <c r="AU457" s="364"/>
      <c r="AV457" s="364"/>
      <c r="AW457" s="364"/>
      <c r="AX457" s="364"/>
      <c r="AY457" s="364"/>
      <c r="AZ457" s="364"/>
      <c r="BA457" s="364"/>
      <c r="BB457" s="364"/>
      <c r="BC457" s="364"/>
      <c r="BD457" s="364"/>
      <c r="BE457" s="364"/>
      <c r="BF457" s="364"/>
      <c r="BG457" s="364"/>
      <c r="BH457" s="364"/>
      <c r="BI457" s="364"/>
      <c r="BJ457" s="364"/>
      <c r="BK457" s="364"/>
      <c r="BL457" s="364"/>
      <c r="BM457" s="364"/>
      <c r="BN457" s="364"/>
      <c r="BO457" s="364"/>
      <c r="BP457" s="364"/>
      <c r="BQ457" s="364"/>
      <c r="BR457" s="364"/>
      <c r="BS457" s="364"/>
      <c r="BT457" s="364"/>
    </row>
    <row r="458" spans="1:72" ht="45" hidden="1">
      <c r="A458" s="156">
        <f t="shared" si="146"/>
        <v>1</v>
      </c>
      <c r="C458" s="225">
        <f t="shared" si="147"/>
        <v>43906</v>
      </c>
      <c r="F458" s="225">
        <f t="shared" si="148"/>
        <v>43904</v>
      </c>
      <c r="G458" s="224">
        <f t="shared" si="149"/>
        <v>2</v>
      </c>
      <c r="H458" s="224">
        <f>IF(F458+G458=H423,1,0)</f>
        <v>0</v>
      </c>
      <c r="I458" s="224">
        <f>IF(F458+G458=I423,1,0)</f>
        <v>0</v>
      </c>
      <c r="J458" s="224">
        <f>IF(F458+G458=J423,1,0)</f>
        <v>0</v>
      </c>
      <c r="K458" s="224">
        <f>IF(F458+G458=K423,1,0)</f>
        <v>0</v>
      </c>
      <c r="L458" s="224">
        <f>IF(F458+G458=L423,1,0)</f>
        <v>0</v>
      </c>
      <c r="M458" s="224">
        <f>IF(F458+G458=M423,1,0)</f>
        <v>0</v>
      </c>
      <c r="N458" s="224">
        <f>IF(F458+G458=N423,1,0)</f>
        <v>0</v>
      </c>
      <c r="O458" s="224">
        <f>IF(F458+G458=O423,1,0)</f>
        <v>0</v>
      </c>
      <c r="P458" s="224">
        <f>IF(F458+G458=P423,2,0)</f>
        <v>0</v>
      </c>
      <c r="Q458" s="224">
        <f>IF(F458+G458=Q423,1,0)</f>
        <v>0</v>
      </c>
      <c r="R458" s="224">
        <f>IF(F458+G458=R423,1,0)</f>
        <v>0</v>
      </c>
      <c r="S458" s="224">
        <f>IF(WEEKDAY(F458+SUM($G$458:$R$458),2)=6,2,IF(WEEKDAY(F458+SUM($G$458:$R$458),2)=7,1,0))</f>
        <v>0</v>
      </c>
      <c r="T458" s="225">
        <f>SUM($F$458:$S$458)</f>
        <v>43906</v>
      </c>
      <c r="U458" s="225">
        <f t="shared" si="150"/>
        <v>44196</v>
      </c>
      <c r="W458" s="364"/>
      <c r="X458" s="364"/>
      <c r="Y458" s="364"/>
      <c r="Z458" s="364"/>
      <c r="AA458" s="364"/>
      <c r="AB458" s="364"/>
      <c r="AC458" s="364"/>
      <c r="AD458" s="364"/>
      <c r="AE458" s="364"/>
      <c r="AF458" s="364"/>
      <c r="AG458" s="364"/>
      <c r="AH458" s="364"/>
      <c r="AI458" s="364"/>
      <c r="AJ458" s="364"/>
      <c r="AK458" s="364"/>
      <c r="AL458" s="364"/>
      <c r="AM458" s="364"/>
      <c r="AN458" s="364"/>
      <c r="AO458" s="364"/>
      <c r="AP458" s="364"/>
      <c r="AQ458" s="364"/>
      <c r="AR458" s="364"/>
      <c r="AS458" s="364"/>
      <c r="AT458" s="364"/>
      <c r="AU458" s="364"/>
      <c r="AV458" s="364"/>
      <c r="AW458" s="364"/>
      <c r="AX458" s="364"/>
      <c r="AY458" s="364"/>
      <c r="AZ458" s="364"/>
      <c r="BA458" s="364"/>
      <c r="BB458" s="364"/>
      <c r="BC458" s="364"/>
      <c r="BD458" s="364"/>
      <c r="BE458" s="364"/>
      <c r="BF458" s="364"/>
      <c r="BG458" s="364"/>
      <c r="BH458" s="364"/>
      <c r="BI458" s="364"/>
      <c r="BJ458" s="364"/>
      <c r="BK458" s="364"/>
      <c r="BL458" s="364"/>
      <c r="BM458" s="364"/>
      <c r="BN458" s="364"/>
      <c r="BO458" s="364"/>
      <c r="BP458" s="364"/>
      <c r="BQ458" s="364"/>
      <c r="BR458" s="364"/>
      <c r="BS458" s="364"/>
      <c r="BT458" s="364"/>
    </row>
    <row r="459" spans="1:72" ht="45" hidden="1">
      <c r="A459" s="156">
        <f t="shared" si="146"/>
        <v>1</v>
      </c>
      <c r="C459" s="225">
        <f t="shared" si="147"/>
        <v>43907</v>
      </c>
      <c r="F459" s="225">
        <f t="shared" si="148"/>
        <v>43907</v>
      </c>
      <c r="G459" s="224">
        <f t="shared" si="149"/>
        <v>0</v>
      </c>
      <c r="H459" s="224">
        <f>IF(F459+G459=H423,1,0)</f>
        <v>0</v>
      </c>
      <c r="I459" s="224">
        <f>IF(F459+G459=I423,1,0)</f>
        <v>0</v>
      </c>
      <c r="J459" s="224">
        <f>IF(F459+G459=J423,1,0)</f>
        <v>0</v>
      </c>
      <c r="K459" s="224">
        <f>IF(F459+G459=K423,1,0)</f>
        <v>0</v>
      </c>
      <c r="L459" s="224">
        <f>IF(F459+G459=L423,1,0)</f>
        <v>0</v>
      </c>
      <c r="M459" s="224">
        <f>IF(F459+G459=M423,1,0)</f>
        <v>0</v>
      </c>
      <c r="N459" s="224">
        <f>IF(F459+G459=N423,1,0)</f>
        <v>0</v>
      </c>
      <c r="O459" s="224">
        <f>IF(F459+G459=O423,1,0)</f>
        <v>0</v>
      </c>
      <c r="P459" s="224">
        <f>IF(F459+G459=P423,2,0)</f>
        <v>0</v>
      </c>
      <c r="Q459" s="224">
        <f>IF(F459+G459=Q423,1,0)</f>
        <v>0</v>
      </c>
      <c r="R459" s="224">
        <f>IF(F459+G459=R423,1,0)</f>
        <v>0</v>
      </c>
      <c r="S459" s="224">
        <f>IF(WEEKDAY(F459+SUM($G$459:$R$459),2)=6,2,IF(WEEKDAY(F459+SUM($G$459:$R$459),2)=7,1,0))</f>
        <v>0</v>
      </c>
      <c r="T459" s="225">
        <f>SUM($F$459:$S$459)</f>
        <v>43907</v>
      </c>
      <c r="U459" s="225">
        <f t="shared" si="150"/>
        <v>44196</v>
      </c>
      <c r="W459" s="364"/>
      <c r="X459" s="364"/>
      <c r="Y459" s="364"/>
      <c r="Z459" s="364"/>
      <c r="AA459" s="364"/>
      <c r="AB459" s="364"/>
      <c r="AC459" s="364"/>
      <c r="AD459" s="364"/>
      <c r="AE459" s="364"/>
      <c r="AF459" s="364"/>
      <c r="AG459" s="364"/>
      <c r="AH459" s="364"/>
      <c r="AI459" s="364"/>
      <c r="AJ459" s="364"/>
      <c r="AK459" s="364"/>
      <c r="AL459" s="364"/>
      <c r="AM459" s="364"/>
      <c r="AN459" s="364"/>
      <c r="AO459" s="364"/>
      <c r="AP459" s="364"/>
      <c r="AQ459" s="364"/>
      <c r="AR459" s="364"/>
      <c r="AS459" s="364"/>
      <c r="AT459" s="364"/>
      <c r="AU459" s="364"/>
      <c r="AV459" s="364"/>
      <c r="AW459" s="364"/>
      <c r="AX459" s="364"/>
      <c r="AY459" s="364"/>
      <c r="AZ459" s="364"/>
      <c r="BA459" s="364"/>
      <c r="BB459" s="364"/>
      <c r="BC459" s="364"/>
      <c r="BD459" s="364"/>
      <c r="BE459" s="364"/>
      <c r="BF459" s="364"/>
      <c r="BG459" s="364"/>
      <c r="BH459" s="364"/>
      <c r="BI459" s="364"/>
      <c r="BJ459" s="364"/>
      <c r="BK459" s="364"/>
      <c r="BL459" s="364"/>
      <c r="BM459" s="364"/>
      <c r="BN459" s="364"/>
      <c r="BO459" s="364"/>
      <c r="BP459" s="364"/>
      <c r="BQ459" s="364"/>
      <c r="BR459" s="364"/>
      <c r="BS459" s="364"/>
      <c r="BT459" s="364"/>
    </row>
    <row r="460" spans="1:72" ht="45" hidden="1">
      <c r="A460" s="156">
        <f t="shared" si="146"/>
        <v>1</v>
      </c>
      <c r="C460" s="225">
        <f t="shared" si="147"/>
        <v>43908</v>
      </c>
      <c r="F460" s="225">
        <f t="shared" si="148"/>
        <v>43908</v>
      </c>
      <c r="G460" s="224">
        <f t="shared" si="149"/>
        <v>0</v>
      </c>
      <c r="H460" s="224">
        <f>IF(F460+G460=H423,1,0)</f>
        <v>0</v>
      </c>
      <c r="I460" s="224">
        <f>IF(F460+G460=I423,1,0)</f>
        <v>0</v>
      </c>
      <c r="J460" s="224">
        <f>IF(F460+G460=J423,1,0)</f>
        <v>0</v>
      </c>
      <c r="K460" s="224">
        <f>IF(F460+G460=K423,1,0)</f>
        <v>0</v>
      </c>
      <c r="L460" s="224">
        <f>IF(F460+G460=L423,1,0)</f>
        <v>0</v>
      </c>
      <c r="M460" s="224">
        <f>IF(F460+G460=M423,1,0)</f>
        <v>0</v>
      </c>
      <c r="N460" s="224">
        <f>IF(F460+G460=N423,1,0)</f>
        <v>0</v>
      </c>
      <c r="O460" s="224">
        <f>IF(F460+G460=O423,1,0)</f>
        <v>0</v>
      </c>
      <c r="P460" s="224">
        <f>IF(F460+G460=P423,2,0)</f>
        <v>0</v>
      </c>
      <c r="Q460" s="224">
        <f>IF(F460+G460=Q423,1,0)</f>
        <v>0</v>
      </c>
      <c r="R460" s="224">
        <f>IF(F460+G460=R423,1,0)</f>
        <v>0</v>
      </c>
      <c r="S460" s="224">
        <f>IF(WEEKDAY(F460+SUM($G$460:$R$460),2)=6,2,IF(WEEKDAY(F460+SUM($G$460:$R$460),2)=7,1,0))</f>
        <v>0</v>
      </c>
      <c r="T460" s="225">
        <f>SUM($F$460:$S$460)</f>
        <v>43908</v>
      </c>
      <c r="U460" s="225">
        <f t="shared" si="150"/>
        <v>44196</v>
      </c>
      <c r="W460" s="364"/>
      <c r="X460" s="364"/>
      <c r="Y460" s="364"/>
      <c r="Z460" s="364"/>
      <c r="AA460" s="364"/>
      <c r="AB460" s="364"/>
      <c r="AC460" s="364"/>
      <c r="AD460" s="364"/>
      <c r="AE460" s="364"/>
      <c r="AF460" s="364"/>
      <c r="AG460" s="364"/>
      <c r="AH460" s="364"/>
      <c r="AI460" s="364"/>
      <c r="AJ460" s="364"/>
      <c r="AK460" s="364"/>
      <c r="AL460" s="364"/>
      <c r="AM460" s="364"/>
      <c r="AN460" s="364"/>
      <c r="AO460" s="364"/>
      <c r="AP460" s="364"/>
      <c r="AQ460" s="364"/>
      <c r="AR460" s="364"/>
      <c r="AS460" s="364"/>
      <c r="AT460" s="364"/>
      <c r="AU460" s="364"/>
      <c r="AV460" s="364"/>
      <c r="AW460" s="364"/>
      <c r="AX460" s="364"/>
      <c r="AY460" s="364"/>
      <c r="AZ460" s="364"/>
      <c r="BA460" s="364"/>
      <c r="BB460" s="364"/>
      <c r="BC460" s="364"/>
      <c r="BD460" s="364"/>
      <c r="BE460" s="364"/>
      <c r="BF460" s="364"/>
      <c r="BG460" s="364"/>
      <c r="BH460" s="364"/>
      <c r="BI460" s="364"/>
      <c r="BJ460" s="364"/>
      <c r="BK460" s="364"/>
      <c r="BL460" s="364"/>
      <c r="BM460" s="364"/>
      <c r="BN460" s="364"/>
      <c r="BO460" s="364"/>
      <c r="BP460" s="364"/>
      <c r="BQ460" s="364"/>
      <c r="BR460" s="364"/>
      <c r="BS460" s="364"/>
      <c r="BT460" s="364"/>
    </row>
    <row r="461" spans="1:72" ht="45" hidden="1">
      <c r="A461" s="156">
        <f t="shared" si="146"/>
        <v>1</v>
      </c>
      <c r="C461" s="225">
        <f t="shared" si="147"/>
        <v>43909</v>
      </c>
      <c r="F461" s="225">
        <f t="shared" si="148"/>
        <v>43909</v>
      </c>
      <c r="G461" s="224">
        <f t="shared" si="149"/>
        <v>0</v>
      </c>
      <c r="H461" s="224">
        <f>IF(F461+G461=H423,1,0)</f>
        <v>0</v>
      </c>
      <c r="I461" s="224">
        <f>IF(F461+G461=I423,1,0)</f>
        <v>0</v>
      </c>
      <c r="J461" s="224">
        <f>IF(F461+G461=J423,1,0)</f>
        <v>0</v>
      </c>
      <c r="K461" s="224">
        <f>IF(F461+G461=K423,1,0)</f>
        <v>0</v>
      </c>
      <c r="L461" s="224">
        <f>IF(F461+G461=L423,1,0)</f>
        <v>0</v>
      </c>
      <c r="M461" s="224">
        <f>IF(F461+G461=M423,1,0)</f>
        <v>0</v>
      </c>
      <c r="N461" s="224">
        <f>IF(F461+G461=N423,1,0)</f>
        <v>0</v>
      </c>
      <c r="O461" s="224">
        <f>IF(F461+G461=O423,1,0)</f>
        <v>0</v>
      </c>
      <c r="P461" s="224">
        <f>IF(F461+G461=P423,2,0)</f>
        <v>0</v>
      </c>
      <c r="Q461" s="224">
        <f>IF(F461+G461=Q423,1,0)</f>
        <v>0</v>
      </c>
      <c r="R461" s="224">
        <f>IF(F461+G461=R423,1,0)</f>
        <v>0</v>
      </c>
      <c r="S461" s="224">
        <f>IF(WEEKDAY(F461+SUM($G$461:$R$461),2)=6,2,IF(WEEKDAY(F461+SUM($G$461:$R$461),2)=7,1,0))</f>
        <v>0</v>
      </c>
      <c r="T461" s="225">
        <f>SUM($F$461:$S$461)</f>
        <v>43909</v>
      </c>
      <c r="U461" s="225">
        <f t="shared" si="150"/>
        <v>44196</v>
      </c>
      <c r="W461" s="364"/>
      <c r="X461" s="364"/>
      <c r="Y461" s="364"/>
      <c r="Z461" s="364"/>
      <c r="AA461" s="364"/>
      <c r="AB461" s="364"/>
      <c r="AC461" s="364"/>
      <c r="AD461" s="364"/>
      <c r="AE461" s="364"/>
      <c r="AF461" s="364"/>
      <c r="AG461" s="364"/>
      <c r="AH461" s="364"/>
      <c r="AI461" s="364"/>
      <c r="AJ461" s="364"/>
      <c r="AK461" s="364"/>
      <c r="AL461" s="364"/>
      <c r="AM461" s="364"/>
      <c r="AN461" s="364"/>
      <c r="AO461" s="364"/>
      <c r="AP461" s="364"/>
      <c r="AQ461" s="364"/>
      <c r="AR461" s="364"/>
      <c r="AS461" s="364"/>
      <c r="AT461" s="364"/>
      <c r="AU461" s="364"/>
      <c r="AV461" s="364"/>
      <c r="AW461" s="364"/>
      <c r="AX461" s="364"/>
      <c r="AY461" s="364"/>
      <c r="AZ461" s="364"/>
      <c r="BA461" s="364"/>
      <c r="BB461" s="364"/>
      <c r="BC461" s="364"/>
      <c r="BD461" s="364"/>
      <c r="BE461" s="364"/>
      <c r="BF461" s="364"/>
      <c r="BG461" s="364"/>
      <c r="BH461" s="364"/>
      <c r="BI461" s="364"/>
      <c r="BJ461" s="364"/>
      <c r="BK461" s="364"/>
      <c r="BL461" s="364"/>
      <c r="BM461" s="364"/>
      <c r="BN461" s="364"/>
      <c r="BO461" s="364"/>
      <c r="BP461" s="364"/>
      <c r="BQ461" s="364"/>
      <c r="BR461" s="364"/>
      <c r="BS461" s="364"/>
      <c r="BT461" s="364"/>
    </row>
    <row r="462" spans="1:72" ht="45" hidden="1">
      <c r="A462" s="156">
        <f t="shared" si="146"/>
        <v>1</v>
      </c>
      <c r="C462" s="225">
        <f t="shared" si="147"/>
        <v>43910</v>
      </c>
      <c r="F462" s="225">
        <f t="shared" si="148"/>
        <v>43910</v>
      </c>
      <c r="G462" s="224">
        <f t="shared" si="149"/>
        <v>0</v>
      </c>
      <c r="H462" s="224">
        <f>IF(F462+G462=H423,1,0)</f>
        <v>0</v>
      </c>
      <c r="I462" s="224">
        <f>IF(F462+G462=I423,1,0)</f>
        <v>0</v>
      </c>
      <c r="J462" s="224">
        <f>IF(F462+G462=J423,1,0)</f>
        <v>0</v>
      </c>
      <c r="K462" s="224">
        <f>IF(F462+G462=K423,1,0)</f>
        <v>0</v>
      </c>
      <c r="L462" s="224">
        <f>IF(F462+G462=L423,1,0)</f>
        <v>0</v>
      </c>
      <c r="M462" s="224">
        <f>IF(F462+G462=M423,1,0)</f>
        <v>0</v>
      </c>
      <c r="N462" s="224">
        <f>IF(F462+G462=N423,1,0)</f>
        <v>0</v>
      </c>
      <c r="O462" s="224">
        <f>IF(F462+G462=O423,1,0)</f>
        <v>0</v>
      </c>
      <c r="P462" s="224">
        <f>IF(F462+G462=P423,2,0)</f>
        <v>0</v>
      </c>
      <c r="Q462" s="224">
        <f>IF(F462+G462=Q423,1,0)</f>
        <v>0</v>
      </c>
      <c r="R462" s="224">
        <f>IF(F462+G462=R423,1,0)</f>
        <v>0</v>
      </c>
      <c r="S462" s="224">
        <f>IF(WEEKDAY(F462+SUM($G$462:$R$462),2)=6,2,IF(WEEKDAY(F462+SUM($G$462:$R$462),2)=7,1,0))</f>
        <v>0</v>
      </c>
      <c r="T462" s="225">
        <f>SUM($F$462:$S$462)</f>
        <v>43910</v>
      </c>
      <c r="U462" s="225">
        <f t="shared" si="150"/>
        <v>44196</v>
      </c>
      <c r="W462" s="364"/>
      <c r="X462" s="364"/>
      <c r="Y462" s="364"/>
      <c r="Z462" s="364"/>
      <c r="AA462" s="364"/>
      <c r="AB462" s="364"/>
      <c r="AC462" s="364"/>
      <c r="AD462" s="364"/>
      <c r="AE462" s="364"/>
      <c r="AF462" s="364"/>
      <c r="AG462" s="364"/>
      <c r="AH462" s="364"/>
      <c r="AI462" s="364"/>
      <c r="AJ462" s="364"/>
      <c r="AK462" s="364"/>
      <c r="AL462" s="364"/>
      <c r="AM462" s="364"/>
      <c r="AN462" s="364"/>
      <c r="AO462" s="364"/>
      <c r="AP462" s="364"/>
      <c r="AQ462" s="364"/>
      <c r="AR462" s="364"/>
      <c r="AS462" s="364"/>
      <c r="AT462" s="364"/>
      <c r="AU462" s="364"/>
      <c r="AV462" s="364"/>
      <c r="AW462" s="364"/>
      <c r="AX462" s="364"/>
      <c r="AY462" s="364"/>
      <c r="AZ462" s="364"/>
      <c r="BA462" s="364"/>
      <c r="BB462" s="364"/>
      <c r="BC462" s="364"/>
      <c r="BD462" s="364"/>
      <c r="BE462" s="364"/>
      <c r="BF462" s="364"/>
      <c r="BG462" s="364"/>
      <c r="BH462" s="364"/>
      <c r="BI462" s="364"/>
      <c r="BJ462" s="364"/>
      <c r="BK462" s="364"/>
      <c r="BL462" s="364"/>
      <c r="BM462" s="364"/>
      <c r="BN462" s="364"/>
      <c r="BO462" s="364"/>
      <c r="BP462" s="364"/>
      <c r="BQ462" s="364"/>
      <c r="BR462" s="364"/>
      <c r="BS462" s="364"/>
      <c r="BT462" s="364"/>
    </row>
    <row r="463" spans="1:72" ht="45" hidden="1">
      <c r="A463" s="156">
        <f t="shared" si="146"/>
        <v>1</v>
      </c>
      <c r="C463" s="225">
        <f t="shared" si="147"/>
        <v>43913</v>
      </c>
      <c r="F463" s="225">
        <f t="shared" si="148"/>
        <v>43911</v>
      </c>
      <c r="G463" s="224">
        <f t="shared" si="149"/>
        <v>2</v>
      </c>
      <c r="H463" s="224">
        <f>IF(F463+G463=H423,1,0)</f>
        <v>0</v>
      </c>
      <c r="I463" s="224">
        <f>IF(F463+G463=I423,1,0)</f>
        <v>0</v>
      </c>
      <c r="J463" s="224">
        <f>IF(F463+G463=J423,1,0)</f>
        <v>0</v>
      </c>
      <c r="K463" s="224">
        <f>IF(F463+G463=K423,1,0)</f>
        <v>0</v>
      </c>
      <c r="L463" s="224">
        <f>IF(F463+G463=L423,1,0)</f>
        <v>0</v>
      </c>
      <c r="M463" s="224">
        <f>IF(F463+G463=M423,1,0)</f>
        <v>0</v>
      </c>
      <c r="N463" s="224">
        <f>IF(F463+G463=N423,1,0)</f>
        <v>0</v>
      </c>
      <c r="O463" s="224">
        <f>IF(F463+G463=O423,1,0)</f>
        <v>0</v>
      </c>
      <c r="P463" s="224">
        <f>IF(F463+G463=P423,2,0)</f>
        <v>0</v>
      </c>
      <c r="Q463" s="224">
        <f>IF(F463+G463=Q423,1,0)</f>
        <v>0</v>
      </c>
      <c r="R463" s="224">
        <f>IF(F463+G463=R423,1,0)</f>
        <v>0</v>
      </c>
      <c r="S463" s="224">
        <f>IF(WEEKDAY(F463+SUM($G$463:$R$463),2)=6,2,IF(WEEKDAY(F463+SUM($G$463:$R$463),2)=7,1,0))</f>
        <v>0</v>
      </c>
      <c r="T463" s="225">
        <f>SUM($F$463:$S$463)</f>
        <v>43913</v>
      </c>
      <c r="U463" s="225">
        <f t="shared" si="150"/>
        <v>44196</v>
      </c>
      <c r="W463" s="364"/>
      <c r="X463" s="364"/>
      <c r="Y463" s="364"/>
      <c r="Z463" s="364"/>
      <c r="AA463" s="364"/>
      <c r="AB463" s="364"/>
      <c r="AC463" s="364"/>
      <c r="AD463" s="364"/>
      <c r="AE463" s="364"/>
      <c r="AF463" s="364"/>
      <c r="AG463" s="364"/>
      <c r="AH463" s="364"/>
      <c r="AI463" s="364"/>
      <c r="AJ463" s="364"/>
      <c r="AK463" s="364"/>
      <c r="AL463" s="364"/>
      <c r="AM463" s="364"/>
      <c r="AN463" s="364"/>
      <c r="AO463" s="364"/>
      <c r="AP463" s="364"/>
      <c r="AQ463" s="364"/>
      <c r="AR463" s="364"/>
      <c r="AS463" s="364"/>
      <c r="AT463" s="364"/>
      <c r="AU463" s="364"/>
      <c r="AV463" s="364"/>
      <c r="AW463" s="364"/>
      <c r="AX463" s="364"/>
      <c r="AY463" s="364"/>
      <c r="AZ463" s="364"/>
      <c r="BA463" s="364"/>
      <c r="BB463" s="364"/>
      <c r="BC463" s="364"/>
      <c r="BD463" s="364"/>
      <c r="BE463" s="364"/>
      <c r="BF463" s="364"/>
      <c r="BG463" s="364"/>
      <c r="BH463" s="364"/>
      <c r="BI463" s="364"/>
      <c r="BJ463" s="364"/>
      <c r="BK463" s="364"/>
      <c r="BL463" s="364"/>
      <c r="BM463" s="364"/>
      <c r="BN463" s="364"/>
      <c r="BO463" s="364"/>
      <c r="BP463" s="364"/>
      <c r="BQ463" s="364"/>
      <c r="BR463" s="364"/>
      <c r="BS463" s="364"/>
      <c r="BT463" s="364"/>
    </row>
    <row r="464" spans="1:72" ht="45" hidden="1">
      <c r="A464" s="156">
        <f t="shared" si="146"/>
        <v>1</v>
      </c>
      <c r="C464" s="225">
        <f t="shared" si="147"/>
        <v>43914</v>
      </c>
      <c r="F464" s="225">
        <f t="shared" si="148"/>
        <v>43914</v>
      </c>
      <c r="G464" s="224">
        <f t="shared" si="149"/>
        <v>0</v>
      </c>
      <c r="H464" s="224">
        <f>IF(F464+G464=H423,1,0)</f>
        <v>0</v>
      </c>
      <c r="I464" s="224">
        <f>IF(F464+G464=I423,1,0)</f>
        <v>0</v>
      </c>
      <c r="J464" s="224">
        <f>IF(F464+G464=J423,1,0)</f>
        <v>0</v>
      </c>
      <c r="K464" s="224">
        <f>IF(F464+G464=K423,1,0)</f>
        <v>0</v>
      </c>
      <c r="L464" s="224">
        <f>IF(F464+G464=L423,1,0)</f>
        <v>0</v>
      </c>
      <c r="M464" s="224">
        <f>IF(F464+G464=M423,1,0)</f>
        <v>0</v>
      </c>
      <c r="N464" s="224">
        <f>IF(F464+G464=N423,1,0)</f>
        <v>0</v>
      </c>
      <c r="O464" s="224">
        <f>IF(F464+G464=O423,1,0)</f>
        <v>0</v>
      </c>
      <c r="P464" s="224">
        <f>IF(F464+G464=P423,2,0)</f>
        <v>0</v>
      </c>
      <c r="Q464" s="224">
        <f>IF(F464+G464=Q423,1,0)</f>
        <v>0</v>
      </c>
      <c r="R464" s="224">
        <f>IF(F464+G464=R423,1,0)</f>
        <v>0</v>
      </c>
      <c r="S464" s="224">
        <f>IF(WEEKDAY(F464+SUM($G$464:$R$464),2)=6,2,IF(WEEKDAY(F464+SUM($G$464:$R$464),2)=7,1,0))</f>
        <v>0</v>
      </c>
      <c r="T464" s="225">
        <f>SUM($F$464:$S$464)</f>
        <v>43914</v>
      </c>
      <c r="U464" s="225">
        <f t="shared" si="150"/>
        <v>44196</v>
      </c>
      <c r="W464" s="364"/>
      <c r="X464" s="364"/>
      <c r="Y464" s="364"/>
      <c r="Z464" s="364"/>
      <c r="AA464" s="364"/>
      <c r="AB464" s="364"/>
      <c r="AC464" s="364"/>
      <c r="AD464" s="364"/>
      <c r="AE464" s="364"/>
      <c r="AF464" s="364"/>
      <c r="AG464" s="364"/>
      <c r="AH464" s="364"/>
      <c r="AI464" s="364"/>
      <c r="AJ464" s="364"/>
      <c r="AK464" s="364"/>
      <c r="AL464" s="364"/>
      <c r="AM464" s="364"/>
      <c r="AN464" s="364"/>
      <c r="AO464" s="364"/>
      <c r="AP464" s="364"/>
      <c r="AQ464" s="364"/>
      <c r="AR464" s="364"/>
      <c r="AS464" s="364"/>
      <c r="AT464" s="364"/>
      <c r="AU464" s="364"/>
      <c r="AV464" s="364"/>
      <c r="AW464" s="364"/>
      <c r="AX464" s="364"/>
      <c r="AY464" s="364"/>
      <c r="AZ464" s="364"/>
      <c r="BA464" s="364"/>
      <c r="BB464" s="364"/>
      <c r="BC464" s="364"/>
      <c r="BD464" s="364"/>
      <c r="BE464" s="364"/>
      <c r="BF464" s="364"/>
      <c r="BG464" s="364"/>
      <c r="BH464" s="364"/>
      <c r="BI464" s="364"/>
      <c r="BJ464" s="364"/>
      <c r="BK464" s="364"/>
      <c r="BL464" s="364"/>
      <c r="BM464" s="364"/>
      <c r="BN464" s="364"/>
      <c r="BO464" s="364"/>
      <c r="BP464" s="364"/>
      <c r="BQ464" s="364"/>
      <c r="BR464" s="364"/>
      <c r="BS464" s="364"/>
      <c r="BT464" s="364"/>
    </row>
    <row r="465" spans="1:72" ht="45" hidden="1">
      <c r="A465" s="156">
        <f t="shared" si="146"/>
        <v>1</v>
      </c>
      <c r="C465" s="225">
        <f t="shared" si="147"/>
        <v>43915</v>
      </c>
      <c r="F465" s="225">
        <f t="shared" si="148"/>
        <v>43915</v>
      </c>
      <c r="G465" s="224">
        <f t="shared" si="149"/>
        <v>0</v>
      </c>
      <c r="H465" s="224">
        <f>IF(F465+G465=H423,1,0)</f>
        <v>0</v>
      </c>
      <c r="I465" s="224">
        <f>IF(F465+G465=I423,1,0)</f>
        <v>0</v>
      </c>
      <c r="J465" s="224">
        <f>IF(F465+G465=J423,1,0)</f>
        <v>0</v>
      </c>
      <c r="K465" s="224">
        <f>IF(F465+G465=K423,1,0)</f>
        <v>0</v>
      </c>
      <c r="L465" s="224">
        <f>IF(F465+G465=L423,1,0)</f>
        <v>0</v>
      </c>
      <c r="M465" s="224">
        <f>IF(F465+G465=M423,1,0)</f>
        <v>0</v>
      </c>
      <c r="N465" s="224">
        <f>IF(F465+G465=N423,1,0)</f>
        <v>0</v>
      </c>
      <c r="O465" s="224">
        <f>IF(F465+G465=O423,1,0)</f>
        <v>0</v>
      </c>
      <c r="P465" s="224">
        <f>IF(F465+G465=P423,2,0)</f>
        <v>0</v>
      </c>
      <c r="Q465" s="224">
        <f>IF(F465+G465=Q423,1,0)</f>
        <v>0</v>
      </c>
      <c r="R465" s="224">
        <f>IF(F465+G465=R423,1,0)</f>
        <v>0</v>
      </c>
      <c r="S465" s="224">
        <f>IF(WEEKDAY(F465+SUM($G$465:$R$465),2)=6,2,IF(WEEKDAY(F465+SUM($G$465:$R$465),2)=7,1,0))</f>
        <v>0</v>
      </c>
      <c r="T465" s="225">
        <f>SUM($F$465:$S$465)</f>
        <v>43915</v>
      </c>
      <c r="U465" s="225">
        <f t="shared" si="150"/>
        <v>44196</v>
      </c>
      <c r="W465" s="364"/>
      <c r="X465" s="364"/>
      <c r="Y465" s="364"/>
      <c r="Z465" s="364"/>
      <c r="AA465" s="364"/>
      <c r="AB465" s="364"/>
      <c r="AC465" s="364"/>
      <c r="AD465" s="364"/>
      <c r="AE465" s="364"/>
      <c r="AF465" s="364"/>
      <c r="AG465" s="364"/>
      <c r="AH465" s="364"/>
      <c r="AI465" s="364"/>
      <c r="AJ465" s="364"/>
      <c r="AK465" s="364"/>
      <c r="AL465" s="364"/>
      <c r="AM465" s="364"/>
      <c r="AN465" s="364"/>
      <c r="AO465" s="364"/>
      <c r="AP465" s="364"/>
      <c r="AQ465" s="364"/>
      <c r="AR465" s="364"/>
      <c r="AS465" s="364"/>
      <c r="AT465" s="364"/>
      <c r="AU465" s="364"/>
      <c r="AV465" s="364"/>
      <c r="AW465" s="364"/>
      <c r="AX465" s="364"/>
      <c r="AY465" s="364"/>
      <c r="AZ465" s="364"/>
      <c r="BA465" s="364"/>
      <c r="BB465" s="364"/>
      <c r="BC465" s="364"/>
      <c r="BD465" s="364"/>
      <c r="BE465" s="364"/>
      <c r="BF465" s="364"/>
      <c r="BG465" s="364"/>
      <c r="BH465" s="364"/>
      <c r="BI465" s="364"/>
      <c r="BJ465" s="364"/>
      <c r="BK465" s="364"/>
      <c r="BL465" s="364"/>
      <c r="BM465" s="364"/>
      <c r="BN465" s="364"/>
      <c r="BO465" s="364"/>
      <c r="BP465" s="364"/>
      <c r="BQ465" s="364"/>
      <c r="BR465" s="364"/>
      <c r="BS465" s="364"/>
      <c r="BT465" s="364"/>
    </row>
    <row r="466" spans="1:72" ht="45" hidden="1">
      <c r="A466" s="156">
        <f t="shared" si="146"/>
        <v>1</v>
      </c>
      <c r="C466" s="225">
        <f t="shared" si="147"/>
        <v>43916</v>
      </c>
      <c r="F466" s="225">
        <f t="shared" si="148"/>
        <v>43916</v>
      </c>
      <c r="G466" s="224">
        <f t="shared" si="149"/>
        <v>0</v>
      </c>
      <c r="H466" s="224">
        <f>IF(F466+G466=H423,1,0)</f>
        <v>0</v>
      </c>
      <c r="I466" s="224">
        <f>IF(F466+G466=I423,1,0)</f>
        <v>0</v>
      </c>
      <c r="J466" s="224">
        <f>IF(F466+G466=J423,1,0)</f>
        <v>0</v>
      </c>
      <c r="K466" s="224">
        <f>IF(F466+G466=K423,1,0)</f>
        <v>0</v>
      </c>
      <c r="L466" s="224">
        <f>IF(F466+G466=L423,1,0)</f>
        <v>0</v>
      </c>
      <c r="M466" s="224">
        <f>IF(F466+G466=M423,1,0)</f>
        <v>0</v>
      </c>
      <c r="N466" s="224">
        <f>IF(F466+G466=N423,1,0)</f>
        <v>0</v>
      </c>
      <c r="O466" s="224">
        <f>IF(F466+G466=O423,1,0)</f>
        <v>0</v>
      </c>
      <c r="P466" s="224">
        <f>IF(F466+G466=P423,2,0)</f>
        <v>0</v>
      </c>
      <c r="Q466" s="224">
        <f>IF(F466+G466=Q423,1,0)</f>
        <v>0</v>
      </c>
      <c r="R466" s="224">
        <f>IF(F466+G466=R423,1,0)</f>
        <v>0</v>
      </c>
      <c r="S466" s="224">
        <f>IF(WEEKDAY(F466+SUM($G$466:$R$466),2)=6,2,IF(WEEKDAY(F466+SUM($G$466:$R$466),2)=7,1,0))</f>
        <v>0</v>
      </c>
      <c r="T466" s="225">
        <f>SUM($F$466:$S$466)</f>
        <v>43916</v>
      </c>
      <c r="U466" s="225">
        <f t="shared" si="150"/>
        <v>44196</v>
      </c>
      <c r="W466" s="364"/>
      <c r="X466" s="364"/>
      <c r="Y466" s="364"/>
      <c r="Z466" s="364"/>
      <c r="AA466" s="364"/>
      <c r="AB466" s="364"/>
      <c r="AC466" s="364"/>
      <c r="AD466" s="364"/>
      <c r="AE466" s="364"/>
      <c r="AF466" s="364"/>
      <c r="AG466" s="364"/>
      <c r="AH466" s="364"/>
      <c r="AI466" s="364"/>
      <c r="AJ466" s="364"/>
      <c r="AK466" s="364"/>
      <c r="AL466" s="364"/>
      <c r="AM466" s="364"/>
      <c r="AN466" s="364"/>
      <c r="AO466" s="364"/>
      <c r="AP466" s="364"/>
      <c r="AQ466" s="364"/>
      <c r="AR466" s="364"/>
      <c r="AS466" s="364"/>
      <c r="AT466" s="364"/>
      <c r="AU466" s="364"/>
      <c r="AV466" s="364"/>
      <c r="AW466" s="364"/>
      <c r="AX466" s="364"/>
      <c r="AY466" s="364"/>
      <c r="AZ466" s="364"/>
      <c r="BA466" s="364"/>
      <c r="BB466" s="364"/>
      <c r="BC466" s="364"/>
      <c r="BD466" s="364"/>
      <c r="BE466" s="364"/>
      <c r="BF466" s="364"/>
      <c r="BG466" s="364"/>
      <c r="BH466" s="364"/>
      <c r="BI466" s="364"/>
      <c r="BJ466" s="364"/>
      <c r="BK466" s="364"/>
      <c r="BL466" s="364"/>
      <c r="BM466" s="364"/>
      <c r="BN466" s="364"/>
      <c r="BO466" s="364"/>
      <c r="BP466" s="364"/>
      <c r="BQ466" s="364"/>
      <c r="BR466" s="364"/>
      <c r="BS466" s="364"/>
      <c r="BT466" s="364"/>
    </row>
    <row r="467" spans="1:21" ht="45" hidden="1">
      <c r="A467" s="156">
        <f t="shared" si="146"/>
        <v>1</v>
      </c>
      <c r="C467" s="225">
        <f t="shared" si="147"/>
        <v>43917</v>
      </c>
      <c r="F467" s="225">
        <f t="shared" si="148"/>
        <v>43917</v>
      </c>
      <c r="G467" s="224">
        <f t="shared" si="149"/>
        <v>0</v>
      </c>
      <c r="H467" s="224">
        <f>IF(F467+G467=H423,1,0)</f>
        <v>0</v>
      </c>
      <c r="I467" s="224">
        <f>IF(F467+G467=I423,1,0)</f>
        <v>0</v>
      </c>
      <c r="J467" s="224">
        <f>IF(F467+G467=J423,1,0)</f>
        <v>0</v>
      </c>
      <c r="K467" s="224">
        <f>IF(F467+G467=K423,1,0)</f>
        <v>0</v>
      </c>
      <c r="L467" s="224">
        <f>IF(F467+G467=L423,1,0)</f>
        <v>0</v>
      </c>
      <c r="M467" s="224">
        <f>IF(F467+G467=M423,1,0)</f>
        <v>0</v>
      </c>
      <c r="N467" s="224">
        <f>IF(F467+G467=N423,1,0)</f>
        <v>0</v>
      </c>
      <c r="O467" s="224">
        <f>IF(F467+G467=O423,1,0)</f>
        <v>0</v>
      </c>
      <c r="P467" s="224">
        <f>IF(F467+G467=P423,2,0)</f>
        <v>0</v>
      </c>
      <c r="Q467" s="224">
        <f>IF(F467+G467=Q423,1,0)</f>
        <v>0</v>
      </c>
      <c r="R467" s="224">
        <f>IF(F467+G467=R423,1,0)</f>
        <v>0</v>
      </c>
      <c r="S467" s="224">
        <f>IF(WEEKDAY(F467+SUM($G$467:$R$467),2)=6,2,IF(WEEKDAY(F467+SUM($G$467:$R$467),2)=7,1,0))</f>
        <v>0</v>
      </c>
      <c r="T467" s="225">
        <f>SUM($F$467:$S$467)</f>
        <v>43917</v>
      </c>
      <c r="U467" s="225">
        <f t="shared" si="150"/>
        <v>44196</v>
      </c>
    </row>
    <row r="468" spans="1:21" ht="45" hidden="1">
      <c r="A468" s="156">
        <f t="shared" si="146"/>
        <v>1</v>
      </c>
      <c r="C468" s="225">
        <f t="shared" si="147"/>
        <v>43920</v>
      </c>
      <c r="F468" s="225">
        <f t="shared" si="148"/>
        <v>43918</v>
      </c>
      <c r="G468" s="224">
        <f t="shared" si="149"/>
        <v>2</v>
      </c>
      <c r="H468" s="224">
        <f>IF(F468+G468=H423,1,0)</f>
        <v>0</v>
      </c>
      <c r="I468" s="224">
        <f>IF(F468+G468=I423,1,0)</f>
        <v>0</v>
      </c>
      <c r="J468" s="224">
        <f>IF(F468+G468=J423,1,0)</f>
        <v>0</v>
      </c>
      <c r="K468" s="224">
        <f>IF(F468+G468=K423,1,0)</f>
        <v>0</v>
      </c>
      <c r="L468" s="224">
        <f>IF(F468+G468=L423,1,0)</f>
        <v>0</v>
      </c>
      <c r="M468" s="224">
        <f>IF(F468+G468=M423,1,0)</f>
        <v>0</v>
      </c>
      <c r="N468" s="224">
        <f>IF(F468+G468=N423,1,0)</f>
        <v>0</v>
      </c>
      <c r="O468" s="224">
        <f>IF(F468+G468=O423,1,0)</f>
        <v>0</v>
      </c>
      <c r="P468" s="224">
        <f>IF(F468+G468=P423,2,0)</f>
        <v>0</v>
      </c>
      <c r="Q468" s="224">
        <f>IF(F468+G468=Q423,1,0)</f>
        <v>0</v>
      </c>
      <c r="R468" s="224">
        <f>IF(F468+G468=R423,1,0)</f>
        <v>0</v>
      </c>
      <c r="S468" s="224">
        <f>IF(WEEKDAY(F468+SUM($G$468:$R$468),2)=6,2,IF(WEEKDAY(F468+SUM($G$468:$R$468),2)=7,1,0))</f>
        <v>0</v>
      </c>
      <c r="T468" s="225">
        <f>SUM($F$468:$S$468)</f>
        <v>43920</v>
      </c>
      <c r="U468" s="225">
        <f t="shared" si="150"/>
        <v>44196</v>
      </c>
    </row>
    <row r="469" spans="1:21" ht="45" hidden="1">
      <c r="A469" s="156">
        <f t="shared" si="146"/>
        <v>1</v>
      </c>
      <c r="C469" s="225">
        <f t="shared" si="147"/>
        <v>43921</v>
      </c>
      <c r="F469" s="225">
        <f t="shared" si="148"/>
        <v>43921</v>
      </c>
      <c r="G469" s="224">
        <f t="shared" si="149"/>
        <v>0</v>
      </c>
      <c r="H469" s="224">
        <f>IF(F469+G469=H423,1,0)</f>
        <v>0</v>
      </c>
      <c r="I469" s="224">
        <f>IF(F469+G469=I423,1,0)</f>
        <v>0</v>
      </c>
      <c r="J469" s="224">
        <f>IF(F469+G469=J423,1,0)</f>
        <v>0</v>
      </c>
      <c r="K469" s="224">
        <f>IF(F469+G469=K423,1,0)</f>
        <v>0</v>
      </c>
      <c r="L469" s="224">
        <f>IF(F469+G469=L423,1,0)</f>
        <v>0</v>
      </c>
      <c r="M469" s="224">
        <f>IF(F469+G469=M423,1,0)</f>
        <v>0</v>
      </c>
      <c r="N469" s="224">
        <f>IF(F469+G469=N423,1,0)</f>
        <v>0</v>
      </c>
      <c r="O469" s="224">
        <f>IF(F469+G469=O423,1,0)</f>
        <v>0</v>
      </c>
      <c r="P469" s="224">
        <f>IF(F469+G469=P423,2,0)</f>
        <v>0</v>
      </c>
      <c r="Q469" s="224">
        <f>IF(F469+G469=Q423,1,0)</f>
        <v>0</v>
      </c>
      <c r="R469" s="224">
        <f>IF(F469+G469=R423,1,0)</f>
        <v>0</v>
      </c>
      <c r="S469" s="224">
        <f>IF(WEEKDAY(F469+SUM($G$469:$R$469),2)=6,2,IF(WEEKDAY(F469+SUM($G$469:$R$469),2)=7,1,0))</f>
        <v>0</v>
      </c>
      <c r="T469" s="225">
        <f>SUM($F$469:$S$469)</f>
        <v>43921</v>
      </c>
      <c r="U469" s="225">
        <f t="shared" si="150"/>
        <v>44196</v>
      </c>
    </row>
    <row r="470" spans="1:21" ht="45" hidden="1">
      <c r="A470" s="156">
        <f t="shared" si="146"/>
        <v>1</v>
      </c>
      <c r="C470" s="225">
        <f t="shared" si="147"/>
        <v>43922</v>
      </c>
      <c r="F470" s="225">
        <f t="shared" si="148"/>
        <v>43922</v>
      </c>
      <c r="G470" s="224">
        <f t="shared" si="149"/>
        <v>0</v>
      </c>
      <c r="H470" s="224">
        <f>IF(F470+G470=H423,1,0)</f>
        <v>0</v>
      </c>
      <c r="I470" s="224">
        <f>IF(F470+G470=I423,1,0)</f>
        <v>0</v>
      </c>
      <c r="J470" s="224">
        <f>IF(F470+G470=J423,1,0)</f>
        <v>0</v>
      </c>
      <c r="K470" s="224">
        <f>IF(F470+G470=K423,1,0)</f>
        <v>0</v>
      </c>
      <c r="L470" s="224">
        <f>IF(F470+G470=L423,1,0)</f>
        <v>0</v>
      </c>
      <c r="M470" s="224">
        <f>IF(F470+G470=M423,1,0)</f>
        <v>0</v>
      </c>
      <c r="N470" s="224">
        <f>IF(F470+G470=N423,1,0)</f>
        <v>0</v>
      </c>
      <c r="O470" s="224">
        <f>IF(F470+G470=O423,1,0)</f>
        <v>0</v>
      </c>
      <c r="P470" s="224">
        <f>IF(F470+G470=P423,2,0)</f>
        <v>0</v>
      </c>
      <c r="Q470" s="224">
        <f>IF(F470+G470=Q423,1,0)</f>
        <v>0</v>
      </c>
      <c r="R470" s="224">
        <f>IF(F470+G470=R423,1,0)</f>
        <v>0</v>
      </c>
      <c r="S470" s="224">
        <f>IF(WEEKDAY(F470+SUM($G$470:$R$470),2)=6,2,IF(WEEKDAY(F470+SUM($G$470:$R$470),2)=7,1,0))</f>
        <v>0</v>
      </c>
      <c r="T470" s="225">
        <f>SUM($F$470:$S$470)</f>
        <v>43922</v>
      </c>
      <c r="U470" s="225">
        <f t="shared" si="150"/>
        <v>44196</v>
      </c>
    </row>
    <row r="471" spans="1:21" ht="45" hidden="1">
      <c r="A471" s="156">
        <f t="shared" si="146"/>
        <v>1</v>
      </c>
      <c r="C471" s="225">
        <f t="shared" si="147"/>
        <v>43923</v>
      </c>
      <c r="F471" s="225">
        <f t="shared" si="148"/>
        <v>43923</v>
      </c>
      <c r="G471" s="224">
        <f t="shared" si="149"/>
        <v>0</v>
      </c>
      <c r="H471" s="224">
        <f>IF(F471+G471=H423,1,0)</f>
        <v>0</v>
      </c>
      <c r="I471" s="224">
        <f>IF(F471+G471=I423,1,0)</f>
        <v>0</v>
      </c>
      <c r="J471" s="224">
        <f>IF(F471+G471=J423,1,0)</f>
        <v>0</v>
      </c>
      <c r="K471" s="224">
        <f>IF(F471+G471=K423,1,0)</f>
        <v>0</v>
      </c>
      <c r="L471" s="224">
        <f>IF(F471+G471=L423,1,0)</f>
        <v>0</v>
      </c>
      <c r="M471" s="224">
        <f>IF(F471+G471=M423,1,0)</f>
        <v>0</v>
      </c>
      <c r="N471" s="224">
        <f>IF(F471+G471=N423,1,0)</f>
        <v>0</v>
      </c>
      <c r="O471" s="224">
        <f>IF(F471+G471=O423,1,0)</f>
        <v>0</v>
      </c>
      <c r="P471" s="224">
        <f>IF(F471+G471=P423,2,0)</f>
        <v>0</v>
      </c>
      <c r="Q471" s="224">
        <f>IF(F471+G471=Q423,1,0)</f>
        <v>0</v>
      </c>
      <c r="R471" s="224">
        <f>IF(F471+G471=R423,1,0)</f>
        <v>0</v>
      </c>
      <c r="S471" s="224">
        <f>IF(WEEKDAY(F471+SUM($G$471:$R$471),2)=6,2,IF(WEEKDAY(F471+SUM($G$471:$R$471),2)=7,1,0))</f>
        <v>0</v>
      </c>
      <c r="T471" s="225">
        <f>SUM($F$471:$S$471)</f>
        <v>43923</v>
      </c>
      <c r="U471" s="225">
        <f t="shared" si="150"/>
        <v>44196</v>
      </c>
    </row>
    <row r="472" spans="1:21" ht="45" hidden="1">
      <c r="A472" s="156">
        <f t="shared" si="146"/>
        <v>1</v>
      </c>
      <c r="C472" s="225">
        <f t="shared" si="147"/>
        <v>43924</v>
      </c>
      <c r="F472" s="225">
        <f t="shared" si="148"/>
        <v>43924</v>
      </c>
      <c r="G472" s="224">
        <f t="shared" si="149"/>
        <v>0</v>
      </c>
      <c r="H472" s="224">
        <f>IF(F472+G472=H423,1,0)</f>
        <v>0</v>
      </c>
      <c r="I472" s="224">
        <f>IF(F472+G472=I423,1,0)</f>
        <v>0</v>
      </c>
      <c r="J472" s="224">
        <f>IF(F472+G472=J423,1,0)</f>
        <v>0</v>
      </c>
      <c r="K472" s="224">
        <f>IF(F472+G472=K423,1,0)</f>
        <v>0</v>
      </c>
      <c r="L472" s="224">
        <f>IF(F472+G472=L423,1,0)</f>
        <v>0</v>
      </c>
      <c r="M472" s="224">
        <f>IF(F472+G472=M423,1,0)</f>
        <v>0</v>
      </c>
      <c r="N472" s="224">
        <f>IF(F472+G472=N423,1,0)</f>
        <v>0</v>
      </c>
      <c r="O472" s="224">
        <f>IF(F472+G472=O423,1,0)</f>
        <v>0</v>
      </c>
      <c r="P472" s="224">
        <f>IF(F472+G472=P423,2,0)</f>
        <v>0</v>
      </c>
      <c r="Q472" s="224">
        <f>IF(F472+G472=Q423,1,0)</f>
        <v>0</v>
      </c>
      <c r="R472" s="224">
        <f>IF(F472+G472=R423,1,0)</f>
        <v>0</v>
      </c>
      <c r="S472" s="224">
        <f>IF(WEEKDAY(F472+SUM($G$472:$R$472),2)=6,2,IF(WEEKDAY(F472+SUM($G$472:$R$472),2)=7,1,0))</f>
        <v>0</v>
      </c>
      <c r="T472" s="225">
        <f>SUM($F$472:$S$472)</f>
        <v>43924</v>
      </c>
      <c r="U472" s="225">
        <f t="shared" si="150"/>
        <v>44196</v>
      </c>
    </row>
    <row r="473" spans="1:21" ht="45" hidden="1">
      <c r="A473" s="156">
        <f t="shared" si="146"/>
        <v>1</v>
      </c>
      <c r="C473" s="225">
        <f t="shared" si="147"/>
        <v>43927</v>
      </c>
      <c r="F473" s="225">
        <f t="shared" si="148"/>
        <v>43925</v>
      </c>
      <c r="G473" s="224">
        <f t="shared" si="149"/>
        <v>2</v>
      </c>
      <c r="H473" s="224">
        <f>IF(F473+G473=H423,1,0)</f>
        <v>0</v>
      </c>
      <c r="I473" s="224">
        <f>IF(F473+G473=I423,1,0)</f>
        <v>0</v>
      </c>
      <c r="J473" s="224">
        <f>IF(F473+G473=J423,1,0)</f>
        <v>0</v>
      </c>
      <c r="K473" s="224">
        <f>IF(F473+G473=K423,1,0)</f>
        <v>0</v>
      </c>
      <c r="L473" s="224">
        <f>IF(F473+G473=L423,1,0)</f>
        <v>0</v>
      </c>
      <c r="M473" s="224">
        <f>IF(F473+G473=M423,1,0)</f>
        <v>0</v>
      </c>
      <c r="N473" s="224">
        <f>IF(F473+G473=N423,1,0)</f>
        <v>0</v>
      </c>
      <c r="O473" s="224">
        <f>IF(F473+G473=O423,1,0)</f>
        <v>0</v>
      </c>
      <c r="P473" s="224">
        <f>IF(F473+G473=P423,2,0)</f>
        <v>0</v>
      </c>
      <c r="Q473" s="224">
        <f>IF(F473+G473=Q423,1,0)</f>
        <v>0</v>
      </c>
      <c r="R473" s="224">
        <f>IF(F473+G473=R423,1,0)</f>
        <v>0</v>
      </c>
      <c r="S473" s="224">
        <f>IF(WEEKDAY(F473+SUM($G$473:$R$473),2)=6,2,IF(WEEKDAY(F473+SUM($G$473:$R$473),2)=7,1,0))</f>
        <v>0</v>
      </c>
      <c r="T473" s="225">
        <f>SUM($F$473:$S$473)</f>
        <v>43927</v>
      </c>
      <c r="U473" s="225">
        <f t="shared" si="150"/>
        <v>44196</v>
      </c>
    </row>
    <row r="474" spans="1:21" ht="45" hidden="1">
      <c r="A474" s="156">
        <f t="shared" si="146"/>
        <v>1</v>
      </c>
      <c r="C474" s="225">
        <f t="shared" si="147"/>
        <v>43928</v>
      </c>
      <c r="F474" s="225">
        <f t="shared" si="148"/>
        <v>43928</v>
      </c>
      <c r="G474" s="224">
        <f t="shared" si="149"/>
        <v>0</v>
      </c>
      <c r="H474" s="224">
        <f>IF(F474+G474=H423,1,0)</f>
        <v>0</v>
      </c>
      <c r="I474" s="224">
        <f>IF(F474+G474=I423,1,0)</f>
        <v>0</v>
      </c>
      <c r="J474" s="224">
        <f>IF(F474+G474=J423,1,0)</f>
        <v>0</v>
      </c>
      <c r="K474" s="224">
        <f>IF(F474+G474=K423,1,0)</f>
        <v>0</v>
      </c>
      <c r="L474" s="224">
        <f>IF(F474+G474=L423,1,0)</f>
        <v>0</v>
      </c>
      <c r="M474" s="224">
        <f>IF(F474+G474=M423,1,0)</f>
        <v>0</v>
      </c>
      <c r="N474" s="224">
        <f>IF(F474+G474=N423,1,0)</f>
        <v>0</v>
      </c>
      <c r="O474" s="224">
        <f>IF(F474+G474=O423,1,0)</f>
        <v>0</v>
      </c>
      <c r="P474" s="224">
        <f>IF(F474+G474=P423,2,0)</f>
        <v>0</v>
      </c>
      <c r="Q474" s="224">
        <f>IF(F474+G474=Q423,1,0)</f>
        <v>0</v>
      </c>
      <c r="R474" s="224">
        <f>IF(F474+G474=R423,1,0)</f>
        <v>0</v>
      </c>
      <c r="S474" s="224">
        <f>IF(WEEKDAY(F474+SUM($G$474:$R$474),2)=6,2,IF(WEEKDAY(F474+SUM($G$474:$R$474),2)=7,1,0))</f>
        <v>0</v>
      </c>
      <c r="T474" s="225">
        <f>SUM($F$474:$S$474)</f>
        <v>43928</v>
      </c>
      <c r="U474" s="225">
        <f t="shared" si="150"/>
        <v>44196</v>
      </c>
    </row>
    <row r="475" spans="1:21" ht="45" hidden="1">
      <c r="A475" s="156">
        <f t="shared" si="146"/>
        <v>1</v>
      </c>
      <c r="C475" s="225">
        <f t="shared" si="147"/>
        <v>43929</v>
      </c>
      <c r="F475" s="225">
        <f t="shared" si="148"/>
        <v>43929</v>
      </c>
      <c r="G475" s="224">
        <f t="shared" si="149"/>
        <v>0</v>
      </c>
      <c r="H475" s="224">
        <f>IF(F475+G475=H423,1,0)</f>
        <v>0</v>
      </c>
      <c r="I475" s="224">
        <f>IF(F475+G475=I423,1,0)</f>
        <v>0</v>
      </c>
      <c r="J475" s="224">
        <f>IF(F475+G475=J423,1,0)</f>
        <v>0</v>
      </c>
      <c r="K475" s="224">
        <f>IF(F475+G475=K423,1,0)</f>
        <v>0</v>
      </c>
      <c r="L475" s="224">
        <f>IF(F475+G475=L423,1,0)</f>
        <v>0</v>
      </c>
      <c r="M475" s="224">
        <f>IF(F475+G475=M423,1,0)</f>
        <v>0</v>
      </c>
      <c r="N475" s="224">
        <f>IF(F475+G475=N423,1,0)</f>
        <v>0</v>
      </c>
      <c r="O475" s="224">
        <f>IF(F475+G475=O423,1,0)</f>
        <v>0</v>
      </c>
      <c r="P475" s="224">
        <f>IF(F475+G475=P423,2,0)</f>
        <v>0</v>
      </c>
      <c r="Q475" s="224">
        <f>IF(F475+G475=Q423,1,0)</f>
        <v>0</v>
      </c>
      <c r="R475" s="224">
        <f>IF(F475+G475=R423,1,0)</f>
        <v>0</v>
      </c>
      <c r="S475" s="224">
        <f>IF(WEEKDAY(F475+SUM($G$475:$R$475),2)=6,2,IF(WEEKDAY(F475+SUM($G$475:$R$475),2)=7,1,0))</f>
        <v>0</v>
      </c>
      <c r="T475" s="225">
        <f>SUM($F$475:$S$475)</f>
        <v>43929</v>
      </c>
      <c r="U475" s="225">
        <f t="shared" si="150"/>
        <v>44196</v>
      </c>
    </row>
    <row r="476" spans="1:21" ht="45" hidden="1">
      <c r="A476" s="156">
        <f t="shared" si="146"/>
        <v>1</v>
      </c>
      <c r="C476" s="225">
        <f t="shared" si="147"/>
        <v>43930</v>
      </c>
      <c r="F476" s="225">
        <f t="shared" si="148"/>
        <v>43930</v>
      </c>
      <c r="G476" s="224">
        <f t="shared" si="149"/>
        <v>0</v>
      </c>
      <c r="H476" s="224">
        <f>IF(F476+G476=H423,1,0)</f>
        <v>0</v>
      </c>
      <c r="I476" s="224">
        <f>IF(F476+G476=I423,1,0)</f>
        <v>0</v>
      </c>
      <c r="J476" s="224">
        <f>IF(F476+G476=J423,1,0)</f>
        <v>0</v>
      </c>
      <c r="K476" s="224">
        <f>IF(F476+G476=K423,1,0)</f>
        <v>0</v>
      </c>
      <c r="L476" s="224">
        <f>IF(F476+G476=L423,1,0)</f>
        <v>0</v>
      </c>
      <c r="M476" s="224">
        <f>IF(F476+G476=M423,1,0)</f>
        <v>0</v>
      </c>
      <c r="N476" s="224">
        <f>IF(F476+G476=N423,1,0)</f>
        <v>0</v>
      </c>
      <c r="O476" s="224">
        <f>IF(F476+G476=O423,1,0)</f>
        <v>0</v>
      </c>
      <c r="P476" s="224">
        <f>IF(F476+G476=P423,2,0)</f>
        <v>0</v>
      </c>
      <c r="Q476" s="224">
        <f>IF(F476+G476=Q423,1,0)</f>
        <v>0</v>
      </c>
      <c r="R476" s="224">
        <f>IF(F476+G476=R423,1,0)</f>
        <v>0</v>
      </c>
      <c r="S476" s="224">
        <f>IF(WEEKDAY(F476+SUM($G$476:$R$476),2)=6,2,IF(WEEKDAY(F476+SUM($G$476:$R$476),2)=7,1,0))</f>
        <v>0</v>
      </c>
      <c r="T476" s="225">
        <f>SUM($F$476:$S$476)</f>
        <v>43930</v>
      </c>
      <c r="U476" s="225">
        <f t="shared" si="150"/>
        <v>44196</v>
      </c>
    </row>
    <row r="477" spans="1:21" ht="45" hidden="1">
      <c r="A477" s="156">
        <f t="shared" si="146"/>
        <v>1</v>
      </c>
      <c r="C477" s="225">
        <f t="shared" si="147"/>
        <v>43931</v>
      </c>
      <c r="F477" s="225">
        <f t="shared" si="148"/>
        <v>43931</v>
      </c>
      <c r="G477" s="224">
        <f t="shared" si="149"/>
        <v>0</v>
      </c>
      <c r="H477" s="224">
        <f>IF(F477+G477=H423,1,0)</f>
        <v>0</v>
      </c>
      <c r="I477" s="224">
        <f>IF(F477+G477=I423,1,0)</f>
        <v>0</v>
      </c>
      <c r="J477" s="224">
        <f>IF(F477+G477=J423,1,0)</f>
        <v>0</v>
      </c>
      <c r="K477" s="224">
        <f>IF(F477+G477=K423,1,0)</f>
        <v>0</v>
      </c>
      <c r="L477" s="224">
        <f>IF(F477+G477=L423,1,0)</f>
        <v>0</v>
      </c>
      <c r="M477" s="224">
        <f>IF(F477+G477=M423,1,0)</f>
        <v>0</v>
      </c>
      <c r="N477" s="224">
        <f>IF(F477+G477=N423,1,0)</f>
        <v>0</v>
      </c>
      <c r="O477" s="224">
        <f>IF(F477+G477=O423,1,0)</f>
        <v>0</v>
      </c>
      <c r="P477" s="224">
        <f>IF(F477+G477=P423,2,0)</f>
        <v>0</v>
      </c>
      <c r="Q477" s="224">
        <f>IF(F477+G477=Q423,1,0)</f>
        <v>0</v>
      </c>
      <c r="R477" s="224">
        <f>IF(F477+G477=R423,1,0)</f>
        <v>0</v>
      </c>
      <c r="S477" s="224">
        <f>IF(WEEKDAY(F477+SUM($G$477:$R$477),2)=6,2,IF(WEEKDAY(F477+SUM($G$477:$R$477),2)=7,1,0))</f>
        <v>0</v>
      </c>
      <c r="T477" s="225">
        <f>SUM($F$477:$S$477)</f>
        <v>43931</v>
      </c>
      <c r="U477" s="225">
        <f t="shared" si="150"/>
        <v>44196</v>
      </c>
    </row>
    <row r="478" spans="1:21" ht="45" hidden="1">
      <c r="A478" s="156">
        <f t="shared" si="146"/>
        <v>1</v>
      </c>
      <c r="C478" s="225">
        <f t="shared" si="147"/>
        <v>43935</v>
      </c>
      <c r="F478" s="225">
        <f t="shared" si="148"/>
        <v>43932</v>
      </c>
      <c r="G478" s="224">
        <f t="shared" si="149"/>
        <v>2</v>
      </c>
      <c r="H478" s="224">
        <f>IF(F478+G478=H423,1,0)</f>
        <v>0</v>
      </c>
      <c r="I478" s="224">
        <f>IF(F478+G478=I423,1,0)</f>
        <v>1</v>
      </c>
      <c r="J478" s="224">
        <f>IF(F478+G478=J423,1,0)</f>
        <v>0</v>
      </c>
      <c r="K478" s="224">
        <f>IF(F478+G478=K423,1,0)</f>
        <v>0</v>
      </c>
      <c r="L478" s="224">
        <f>IF(F478+G478=L423,1,0)</f>
        <v>0</v>
      </c>
      <c r="M478" s="224">
        <f>IF(F478+G478=M423,1,0)</f>
        <v>0</v>
      </c>
      <c r="N478" s="224">
        <f>IF(F478+G478=N423,1,0)</f>
        <v>0</v>
      </c>
      <c r="O478" s="224">
        <f>IF(F478+G478=O423,1,0)</f>
        <v>0</v>
      </c>
      <c r="P478" s="224">
        <f>IF(F478+G478=P423,2,0)</f>
        <v>0</v>
      </c>
      <c r="Q478" s="224">
        <f>IF(F478+G478=Q423,1,0)</f>
        <v>0</v>
      </c>
      <c r="R478" s="224">
        <f>IF(F478+G478=R423,1,0)</f>
        <v>0</v>
      </c>
      <c r="S478" s="224">
        <f>IF(WEEKDAY(F478+SUM($G$478:$R$478),2)=6,2,IF(WEEKDAY(F478+SUM($G$478:$R$478),2)=7,1,0))</f>
        <v>0</v>
      </c>
      <c r="T478" s="225">
        <f>SUM($F$478:$S$478)</f>
        <v>43935</v>
      </c>
      <c r="U478" s="225">
        <f t="shared" si="150"/>
        <v>44196</v>
      </c>
    </row>
    <row r="479" spans="1:21" ht="45" hidden="1">
      <c r="A479" s="156">
        <f t="shared" si="146"/>
        <v>1</v>
      </c>
      <c r="C479" s="225">
        <f t="shared" si="147"/>
        <v>43936</v>
      </c>
      <c r="F479" s="225">
        <f t="shared" si="148"/>
        <v>43936</v>
      </c>
      <c r="G479" s="224">
        <f t="shared" si="149"/>
        <v>0</v>
      </c>
      <c r="H479" s="224">
        <f>IF(F479+G479=H423,1,0)</f>
        <v>0</v>
      </c>
      <c r="I479" s="224">
        <f>IF(F479+G479=I423,1,0)</f>
        <v>0</v>
      </c>
      <c r="J479" s="224">
        <f>IF(F479+G479=J423,1,0)</f>
        <v>0</v>
      </c>
      <c r="K479" s="224">
        <f>IF(F479+G479=K423,1,0)</f>
        <v>0</v>
      </c>
      <c r="L479" s="224">
        <f>IF(F479+G479=L423,1,0)</f>
        <v>0</v>
      </c>
      <c r="M479" s="224">
        <f>IF(F479+G479=M423,1,0)</f>
        <v>0</v>
      </c>
      <c r="N479" s="224">
        <f>IF(F479+G479=N423,1,0)</f>
        <v>0</v>
      </c>
      <c r="O479" s="224">
        <f>IF(F479+G479=O423,1,0)</f>
        <v>0</v>
      </c>
      <c r="P479" s="224">
        <f>IF(F479+G479=P423,2,0)</f>
        <v>0</v>
      </c>
      <c r="Q479" s="224">
        <f>IF(F479+G479=Q423,1,0)</f>
        <v>0</v>
      </c>
      <c r="R479" s="224">
        <f>IF(F479+G479=R423,1,0)</f>
        <v>0</v>
      </c>
      <c r="S479" s="224">
        <f>IF(WEEKDAY(F479+SUM($G$479:$R$479),2)=6,2,IF(WEEKDAY(F479+SUM($G$479:$R$479),2)=7,1,0))</f>
        <v>0</v>
      </c>
      <c r="T479" s="225">
        <f>SUM($F$479:$S$479)</f>
        <v>43936</v>
      </c>
      <c r="U479" s="225">
        <f t="shared" si="150"/>
        <v>44196</v>
      </c>
    </row>
    <row r="480" spans="1:21" ht="45" hidden="1">
      <c r="A480" s="156">
        <f t="shared" si="146"/>
        <v>1</v>
      </c>
      <c r="C480" s="225">
        <f t="shared" si="147"/>
        <v>43937</v>
      </c>
      <c r="F480" s="225">
        <f t="shared" si="148"/>
        <v>43937</v>
      </c>
      <c r="G480" s="224">
        <f t="shared" si="149"/>
        <v>0</v>
      </c>
      <c r="H480" s="224">
        <f>IF(F480+G480=H423,1,0)</f>
        <v>0</v>
      </c>
      <c r="I480" s="224">
        <f>IF(F480+G480=I423,1,0)</f>
        <v>0</v>
      </c>
      <c r="J480" s="224">
        <f>IF(F480+G480=J423,1,0)</f>
        <v>0</v>
      </c>
      <c r="K480" s="224">
        <f>IF(F480+G480=K423,1,0)</f>
        <v>0</v>
      </c>
      <c r="L480" s="224">
        <f>IF(F480+G480=L423,1,0)</f>
        <v>0</v>
      </c>
      <c r="M480" s="224">
        <f>IF(F480+G480=M423,1,0)</f>
        <v>0</v>
      </c>
      <c r="N480" s="224">
        <f>IF(F480+G480=N423,1,0)</f>
        <v>0</v>
      </c>
      <c r="O480" s="224">
        <f>IF(F480+G480=O423,1,0)</f>
        <v>0</v>
      </c>
      <c r="P480" s="224">
        <f>IF(F480+G480=P423,2,0)</f>
        <v>0</v>
      </c>
      <c r="Q480" s="224">
        <f>IF(F480+G480=Q423,1,0)</f>
        <v>0</v>
      </c>
      <c r="R480" s="224">
        <f>IF(F480+G480=R423,1,0)</f>
        <v>0</v>
      </c>
      <c r="S480" s="224">
        <f>IF(WEEKDAY(F480+SUM($G$480:$R$480),2)=6,2,IF(WEEKDAY(F480+SUM($G$480:$R$480),2)=7,1,0))</f>
        <v>0</v>
      </c>
      <c r="T480" s="225">
        <f>SUM($F$480:$S$480)</f>
        <v>43937</v>
      </c>
      <c r="U480" s="225">
        <f t="shared" si="150"/>
        <v>44196</v>
      </c>
    </row>
    <row r="481" spans="1:22" ht="45" hidden="1">
      <c r="A481" s="156">
        <f t="shared" si="146"/>
        <v>1</v>
      </c>
      <c r="C481" s="225">
        <f t="shared" si="147"/>
        <v>43938</v>
      </c>
      <c r="F481" s="225">
        <f t="shared" si="148"/>
        <v>43938</v>
      </c>
      <c r="G481" s="224">
        <f t="shared" si="149"/>
        <v>0</v>
      </c>
      <c r="H481" s="224">
        <f>IF(F481+G481=H423,1,0)</f>
        <v>0</v>
      </c>
      <c r="I481" s="224">
        <f>IF(F481+G481=I423,1,0)</f>
        <v>0</v>
      </c>
      <c r="J481" s="224">
        <f>IF(F481+G481=J423,1,0)</f>
        <v>0</v>
      </c>
      <c r="K481" s="224">
        <f>IF(F481+G481=K423,1,0)</f>
        <v>0</v>
      </c>
      <c r="L481" s="224">
        <f>IF(F481+G481=L423,1,0)</f>
        <v>0</v>
      </c>
      <c r="M481" s="224">
        <f>IF(F481+G481=M423,1,0)</f>
        <v>0</v>
      </c>
      <c r="N481" s="224">
        <f>IF(F481+G481=N423,1,0)</f>
        <v>0</v>
      </c>
      <c r="O481" s="224">
        <f>IF(F481+G481=O423,1,0)</f>
        <v>0</v>
      </c>
      <c r="P481" s="224">
        <f>IF(F481+G481=P423,2,0)</f>
        <v>0</v>
      </c>
      <c r="Q481" s="224">
        <f>IF(F481+G481=Q423,1,0)</f>
        <v>0</v>
      </c>
      <c r="R481" s="224">
        <f>IF(F481+G481=R423,1,0)</f>
        <v>0</v>
      </c>
      <c r="S481" s="224">
        <f>IF(WEEKDAY(F481+SUM($G$481:$R$481),2)=6,2,IF(WEEKDAY(F481+SUM($G$481:$R$481),2)=7,1,0))</f>
        <v>0</v>
      </c>
      <c r="T481" s="225">
        <f>SUM($F$481:$S$481)</f>
        <v>43938</v>
      </c>
      <c r="U481" s="225">
        <f t="shared" si="150"/>
        <v>44196</v>
      </c>
      <c r="V481" s="364"/>
    </row>
    <row r="482" spans="1:22" ht="45" hidden="1">
      <c r="A482" s="156">
        <f t="shared" si="146"/>
        <v>1</v>
      </c>
      <c r="C482" s="225">
        <f t="shared" si="147"/>
        <v>43941</v>
      </c>
      <c r="F482" s="225">
        <f t="shared" si="148"/>
        <v>43939</v>
      </c>
      <c r="G482" s="224">
        <f t="shared" si="149"/>
        <v>2</v>
      </c>
      <c r="H482" s="224">
        <f>IF(F482+G482=H423,1,0)</f>
        <v>0</v>
      </c>
      <c r="I482" s="224">
        <f>IF(F482+G482=I423,1,0)</f>
        <v>0</v>
      </c>
      <c r="J482" s="224">
        <f>IF(F482+G482=J423,1,0)</f>
        <v>0</v>
      </c>
      <c r="K482" s="224">
        <f>IF(F482+G482=K423,1,0)</f>
        <v>0</v>
      </c>
      <c r="L482" s="224">
        <f>IF(F482+G482=L423,1,0)</f>
        <v>0</v>
      </c>
      <c r="M482" s="224">
        <f>IF(F482+G482=M423,1,0)</f>
        <v>0</v>
      </c>
      <c r="N482" s="224">
        <f>IF(F482+G482=N423,1,0)</f>
        <v>0</v>
      </c>
      <c r="O482" s="224">
        <f>IF(F482+G482=O423,1,0)</f>
        <v>0</v>
      </c>
      <c r="P482" s="224">
        <f>IF(F482+G482=P423,2,0)</f>
        <v>0</v>
      </c>
      <c r="Q482" s="224">
        <f>IF(F482+G482=Q423,1,0)</f>
        <v>0</v>
      </c>
      <c r="R482" s="224">
        <f>IF(F482+G482=R423,1,0)</f>
        <v>0</v>
      </c>
      <c r="S482" s="224">
        <f>IF(WEEKDAY(F482+SUM($G$482:$R$482),2)=6,2,IF(WEEKDAY(F482+SUM($G$482:$R$482),2)=7,1,0))</f>
        <v>0</v>
      </c>
      <c r="T482" s="225">
        <f>SUM($F$482:$S$482)</f>
        <v>43941</v>
      </c>
      <c r="U482" s="225">
        <f t="shared" si="150"/>
        <v>44196</v>
      </c>
      <c r="V482" s="364"/>
    </row>
    <row r="483" spans="1:22" ht="45" hidden="1">
      <c r="A483" s="156">
        <f t="shared" si="146"/>
        <v>1</v>
      </c>
      <c r="C483" s="225">
        <f t="shared" si="147"/>
        <v>43942</v>
      </c>
      <c r="F483" s="225">
        <f t="shared" si="148"/>
        <v>43942</v>
      </c>
      <c r="G483" s="224">
        <f t="shared" si="149"/>
        <v>0</v>
      </c>
      <c r="H483" s="224">
        <f>IF(F483+G483=H423,1,0)</f>
        <v>0</v>
      </c>
      <c r="I483" s="224">
        <f>IF(F483+G483=I423,1,0)</f>
        <v>0</v>
      </c>
      <c r="J483" s="224">
        <f>IF(F483+G483=J423,1,0)</f>
        <v>0</v>
      </c>
      <c r="K483" s="224">
        <f>IF(F483+G483=K423,1,0)</f>
        <v>0</v>
      </c>
      <c r="L483" s="224">
        <f>IF(F483+G483=L423,1,0)</f>
        <v>0</v>
      </c>
      <c r="M483" s="224">
        <f>IF(F483+G483=M423,1,0)</f>
        <v>0</v>
      </c>
      <c r="N483" s="224">
        <f>IF(F483+G483=N423,1,0)</f>
        <v>0</v>
      </c>
      <c r="O483" s="224">
        <f>IF(F483+G483=O423,1,0)</f>
        <v>0</v>
      </c>
      <c r="P483" s="224">
        <f>IF(F483+G483=P423,2,0)</f>
        <v>0</v>
      </c>
      <c r="Q483" s="224">
        <f>IF(F483+G483=Q423,1,0)</f>
        <v>0</v>
      </c>
      <c r="R483" s="224">
        <f>IF(F483+G483=R423,1,0)</f>
        <v>0</v>
      </c>
      <c r="S483" s="224">
        <f>IF(WEEKDAY(F483+SUM($G$483:$R$483),2)=6,2,IF(WEEKDAY(F483+SUM($G$483:$R$483),2)=7,1,0))</f>
        <v>0</v>
      </c>
      <c r="T483" s="225">
        <f>SUM($F$483:$S$483)</f>
        <v>43942</v>
      </c>
      <c r="U483" s="225">
        <f t="shared" si="150"/>
        <v>44196</v>
      </c>
      <c r="V483" s="364"/>
    </row>
    <row r="484" spans="1:22" ht="12" hidden="1">
      <c r="A484" s="156">
        <f t="shared" si="146"/>
        <v>1</v>
      </c>
      <c r="V484" s="364"/>
    </row>
    <row r="485" spans="1:22" ht="12" hidden="1">
      <c r="A485" s="156">
        <f t="shared" si="146"/>
        <v>1</v>
      </c>
      <c r="V485" s="364"/>
    </row>
    <row r="486" spans="1:22" ht="12.75">
      <c r="A486" s="364"/>
      <c r="B486" s="364"/>
      <c r="C486" s="364"/>
      <c r="D486" s="364"/>
      <c r="E486" s="364"/>
      <c r="F486" s="364"/>
      <c r="G486" s="364"/>
      <c r="H486" s="364"/>
      <c r="I486" s="364"/>
      <c r="J486" s="364"/>
      <c r="K486" s="364"/>
      <c r="L486" s="364"/>
      <c r="M486" s="364"/>
      <c r="N486" s="364"/>
      <c r="O486" s="364"/>
      <c r="P486" s="364"/>
      <c r="Q486" s="364"/>
      <c r="R486" s="364"/>
      <c r="S486" s="364"/>
      <c r="T486" s="364"/>
      <c r="U486" s="364"/>
      <c r="V486" s="364"/>
    </row>
    <row r="487" spans="1:22" ht="12.75">
      <c r="A487" s="364"/>
      <c r="B487" s="364"/>
      <c r="C487" s="364"/>
      <c r="D487" s="364"/>
      <c r="E487" s="364"/>
      <c r="F487" s="364"/>
      <c r="G487" s="364"/>
      <c r="H487" s="364"/>
      <c r="I487" s="364"/>
      <c r="J487" s="364"/>
      <c r="K487" s="364"/>
      <c r="L487" s="364"/>
      <c r="M487" s="364"/>
      <c r="N487" s="364"/>
      <c r="O487" s="364"/>
      <c r="P487" s="364"/>
      <c r="Q487" s="364"/>
      <c r="R487" s="364"/>
      <c r="S487" s="364"/>
      <c r="T487" s="364"/>
      <c r="U487" s="364"/>
      <c r="V487" s="364"/>
    </row>
    <row r="488" spans="1:22" ht="12.75">
      <c r="A488" s="364"/>
      <c r="B488" s="364"/>
      <c r="C488" s="364"/>
      <c r="D488" s="364"/>
      <c r="E488" s="364"/>
      <c r="F488" s="364"/>
      <c r="G488" s="364"/>
      <c r="H488" s="364"/>
      <c r="I488" s="364"/>
      <c r="J488" s="364"/>
      <c r="K488" s="364"/>
      <c r="L488" s="364"/>
      <c r="M488" s="364"/>
      <c r="N488" s="364"/>
      <c r="O488" s="364"/>
      <c r="P488" s="364"/>
      <c r="Q488" s="364"/>
      <c r="R488" s="364"/>
      <c r="S488" s="364"/>
      <c r="T488" s="364"/>
      <c r="U488" s="364"/>
      <c r="V488" s="364"/>
    </row>
    <row r="489" spans="1:22" ht="12.75">
      <c r="A489" s="364"/>
      <c r="B489" s="364"/>
      <c r="C489" s="364"/>
      <c r="D489" s="364"/>
      <c r="E489" s="364"/>
      <c r="F489" s="364"/>
      <c r="G489" s="364"/>
      <c r="H489" s="364"/>
      <c r="I489" s="364"/>
      <c r="J489" s="364"/>
      <c r="K489" s="364"/>
      <c r="L489" s="364"/>
      <c r="M489" s="364"/>
      <c r="N489" s="364"/>
      <c r="O489" s="364"/>
      <c r="P489" s="364"/>
      <c r="Q489" s="364"/>
      <c r="R489" s="364"/>
      <c r="S489" s="364"/>
      <c r="T489" s="364"/>
      <c r="U489" s="364"/>
      <c r="V489" s="364"/>
    </row>
    <row r="490" spans="1:22" ht="12.75">
      <c r="A490" s="364"/>
      <c r="B490" s="364"/>
      <c r="C490" s="364"/>
      <c r="D490" s="364"/>
      <c r="E490" s="364"/>
      <c r="F490" s="364"/>
      <c r="G490" s="364"/>
      <c r="H490" s="364"/>
      <c r="I490" s="364"/>
      <c r="J490" s="364"/>
      <c r="K490" s="364"/>
      <c r="L490" s="364"/>
      <c r="M490" s="364"/>
      <c r="N490" s="364"/>
      <c r="O490" s="364"/>
      <c r="P490" s="364"/>
      <c r="Q490" s="364"/>
      <c r="R490" s="364"/>
      <c r="S490" s="364"/>
      <c r="T490" s="364"/>
      <c r="U490" s="364"/>
      <c r="V490" s="364"/>
    </row>
    <row r="491" spans="1:22" ht="12.75">
      <c r="A491" s="364"/>
      <c r="B491" s="364"/>
      <c r="C491" s="364"/>
      <c r="D491" s="364"/>
      <c r="E491" s="364"/>
      <c r="F491" s="364"/>
      <c r="G491" s="364"/>
      <c r="H491" s="364"/>
      <c r="I491" s="364"/>
      <c r="J491" s="364"/>
      <c r="K491" s="364"/>
      <c r="L491" s="364"/>
      <c r="M491" s="364"/>
      <c r="N491" s="364"/>
      <c r="O491" s="364"/>
      <c r="P491" s="364"/>
      <c r="Q491" s="364"/>
      <c r="R491" s="364"/>
      <c r="S491" s="364"/>
      <c r="T491" s="364"/>
      <c r="U491" s="364"/>
      <c r="V491" s="364"/>
    </row>
    <row r="492" spans="1:22" ht="12.75">
      <c r="A492" s="364"/>
      <c r="B492" s="364"/>
      <c r="C492" s="364"/>
      <c r="D492" s="364"/>
      <c r="E492" s="364"/>
      <c r="F492" s="364"/>
      <c r="G492" s="364"/>
      <c r="H492" s="364"/>
      <c r="I492" s="364"/>
      <c r="J492" s="364"/>
      <c r="K492" s="364"/>
      <c r="L492" s="364"/>
      <c r="M492" s="364"/>
      <c r="N492" s="364"/>
      <c r="O492" s="364"/>
      <c r="P492" s="364"/>
      <c r="Q492" s="364"/>
      <c r="R492" s="364"/>
      <c r="S492" s="364"/>
      <c r="T492" s="364"/>
      <c r="U492" s="364"/>
      <c r="V492" s="364"/>
    </row>
    <row r="493" spans="1:22" ht="12.75">
      <c r="A493" s="364"/>
      <c r="B493" s="364"/>
      <c r="C493" s="364"/>
      <c r="D493" s="364"/>
      <c r="E493" s="364"/>
      <c r="F493" s="364"/>
      <c r="G493" s="364"/>
      <c r="H493" s="364"/>
      <c r="I493" s="364"/>
      <c r="J493" s="364"/>
      <c r="K493" s="364"/>
      <c r="L493" s="364"/>
      <c r="M493" s="364"/>
      <c r="N493" s="364"/>
      <c r="O493" s="364"/>
      <c r="P493" s="364"/>
      <c r="Q493" s="364"/>
      <c r="R493" s="364"/>
      <c r="S493" s="364"/>
      <c r="T493" s="364"/>
      <c r="U493" s="364"/>
      <c r="V493" s="364"/>
    </row>
    <row r="494" spans="1:22" ht="12.75">
      <c r="A494" s="364"/>
      <c r="B494" s="364"/>
      <c r="C494" s="364"/>
      <c r="D494" s="364"/>
      <c r="E494" s="364"/>
      <c r="F494" s="364"/>
      <c r="G494" s="364"/>
      <c r="H494" s="364"/>
      <c r="I494" s="364"/>
      <c r="J494" s="364"/>
      <c r="K494" s="364"/>
      <c r="L494" s="364"/>
      <c r="M494" s="364"/>
      <c r="N494" s="364"/>
      <c r="O494" s="364"/>
      <c r="P494" s="364"/>
      <c r="Q494" s="364"/>
      <c r="R494" s="364"/>
      <c r="S494" s="364"/>
      <c r="T494" s="364"/>
      <c r="U494" s="364"/>
      <c r="V494" s="364"/>
    </row>
    <row r="495" spans="1:22" ht="12.75">
      <c r="A495" s="364"/>
      <c r="B495" s="364"/>
      <c r="C495" s="364"/>
      <c r="D495" s="364"/>
      <c r="E495" s="364"/>
      <c r="F495" s="364"/>
      <c r="G495" s="364"/>
      <c r="H495" s="364"/>
      <c r="I495" s="364"/>
      <c r="J495" s="364"/>
      <c r="K495" s="364"/>
      <c r="L495" s="364"/>
      <c r="M495" s="364"/>
      <c r="N495" s="364"/>
      <c r="O495" s="364"/>
      <c r="P495" s="364"/>
      <c r="Q495" s="364"/>
      <c r="R495" s="364"/>
      <c r="S495" s="364"/>
      <c r="T495" s="364"/>
      <c r="U495" s="364"/>
      <c r="V495" s="364"/>
    </row>
    <row r="496" spans="1:22" ht="12.75">
      <c r="A496" s="364"/>
      <c r="B496" s="364"/>
      <c r="C496" s="364"/>
      <c r="D496" s="364"/>
      <c r="E496" s="364"/>
      <c r="F496" s="364"/>
      <c r="G496" s="364"/>
      <c r="H496" s="364"/>
      <c r="I496" s="364"/>
      <c r="J496" s="364"/>
      <c r="K496" s="364"/>
      <c r="L496" s="364"/>
      <c r="M496" s="364"/>
      <c r="N496" s="364"/>
      <c r="O496" s="364"/>
      <c r="P496" s="364"/>
      <c r="Q496" s="364"/>
      <c r="R496" s="364"/>
      <c r="S496" s="364"/>
      <c r="T496" s="364"/>
      <c r="U496" s="364"/>
      <c r="V496" s="364"/>
    </row>
    <row r="497" spans="1:22" ht="12.75">
      <c r="A497" s="364"/>
      <c r="B497" s="364"/>
      <c r="C497" s="364"/>
      <c r="D497" s="364"/>
      <c r="E497" s="364"/>
      <c r="F497" s="364"/>
      <c r="G497" s="364"/>
      <c r="H497" s="364"/>
      <c r="I497" s="364"/>
      <c r="J497" s="364"/>
      <c r="K497" s="364"/>
      <c r="L497" s="364"/>
      <c r="M497" s="364"/>
      <c r="N497" s="364"/>
      <c r="O497" s="364"/>
      <c r="P497" s="364"/>
      <c r="Q497" s="364"/>
      <c r="R497" s="364"/>
      <c r="S497" s="364"/>
      <c r="T497" s="364"/>
      <c r="U497" s="364"/>
      <c r="V497" s="364"/>
    </row>
    <row r="498" spans="1:22" ht="12.75">
      <c r="A498" s="364"/>
      <c r="B498" s="364"/>
      <c r="C498" s="364"/>
      <c r="D498" s="364"/>
      <c r="E498" s="364"/>
      <c r="F498" s="364"/>
      <c r="G498" s="364"/>
      <c r="H498" s="364"/>
      <c r="I498" s="364"/>
      <c r="J498" s="364"/>
      <c r="K498" s="364"/>
      <c r="L498" s="364"/>
      <c r="M498" s="364"/>
      <c r="N498" s="364"/>
      <c r="O498" s="364"/>
      <c r="P498" s="364"/>
      <c r="Q498" s="364"/>
      <c r="R498" s="364"/>
      <c r="S498" s="364"/>
      <c r="T498" s="364"/>
      <c r="U498" s="364"/>
      <c r="V498" s="364"/>
    </row>
    <row r="499" spans="1:22" ht="12.75">
      <c r="A499" s="364"/>
      <c r="B499" s="364"/>
      <c r="C499" s="364"/>
      <c r="D499" s="364"/>
      <c r="E499" s="364"/>
      <c r="F499" s="364"/>
      <c r="G499" s="364"/>
      <c r="H499" s="364"/>
      <c r="I499" s="364"/>
      <c r="J499" s="364"/>
      <c r="K499" s="364"/>
      <c r="L499" s="364"/>
      <c r="M499" s="364"/>
      <c r="N499" s="364"/>
      <c r="O499" s="364"/>
      <c r="P499" s="364"/>
      <c r="Q499" s="364"/>
      <c r="R499" s="364"/>
      <c r="S499" s="364"/>
      <c r="T499" s="364"/>
      <c r="U499" s="364"/>
      <c r="V499" s="364"/>
    </row>
    <row r="500" spans="1:22" ht="12.75">
      <c r="A500" s="364"/>
      <c r="B500" s="364"/>
      <c r="C500" s="364"/>
      <c r="D500" s="364"/>
      <c r="E500" s="364"/>
      <c r="F500" s="364"/>
      <c r="G500" s="364"/>
      <c r="H500" s="364"/>
      <c r="I500" s="364"/>
      <c r="J500" s="364"/>
      <c r="K500" s="364"/>
      <c r="L500" s="364"/>
      <c r="M500" s="364"/>
      <c r="N500" s="364"/>
      <c r="O500" s="364"/>
      <c r="P500" s="364"/>
      <c r="Q500" s="364"/>
      <c r="R500" s="364"/>
      <c r="S500" s="364"/>
      <c r="T500" s="364"/>
      <c r="U500" s="364"/>
      <c r="V500" s="364"/>
    </row>
    <row r="501" spans="1:21" ht="12.75">
      <c r="A501" s="364"/>
      <c r="B501" s="364"/>
      <c r="C501" s="364"/>
      <c r="D501" s="364"/>
      <c r="E501" s="364"/>
      <c r="F501" s="364"/>
      <c r="G501" s="364"/>
      <c r="H501" s="364"/>
      <c r="I501" s="364"/>
      <c r="J501" s="364"/>
      <c r="K501" s="364"/>
      <c r="L501" s="364"/>
      <c r="M501" s="364"/>
      <c r="N501" s="364"/>
      <c r="O501" s="364"/>
      <c r="P501" s="364"/>
      <c r="Q501" s="364"/>
      <c r="R501" s="364"/>
      <c r="S501" s="364"/>
      <c r="T501" s="364"/>
      <c r="U501" s="364"/>
    </row>
    <row r="502" spans="1:21" ht="12.75">
      <c r="A502" s="364"/>
      <c r="B502" s="364"/>
      <c r="C502" s="364"/>
      <c r="D502" s="364"/>
      <c r="E502" s="364"/>
      <c r="F502" s="364"/>
      <c r="G502" s="364"/>
      <c r="H502" s="364"/>
      <c r="I502" s="364"/>
      <c r="J502" s="364"/>
      <c r="K502" s="364"/>
      <c r="L502" s="364"/>
      <c r="M502" s="364"/>
      <c r="N502" s="364"/>
      <c r="O502" s="364"/>
      <c r="P502" s="364"/>
      <c r="Q502" s="364"/>
      <c r="R502" s="364"/>
      <c r="S502" s="364"/>
      <c r="T502" s="364"/>
      <c r="U502" s="364"/>
    </row>
    <row r="503" spans="1:21" ht="12.75">
      <c r="A503" s="364"/>
      <c r="B503" s="364"/>
      <c r="C503" s="364"/>
      <c r="D503" s="364"/>
      <c r="E503" s="364"/>
      <c r="F503" s="364"/>
      <c r="G503" s="364"/>
      <c r="H503" s="364"/>
      <c r="I503" s="364"/>
      <c r="J503" s="364"/>
      <c r="K503" s="364"/>
      <c r="L503" s="364"/>
      <c r="M503" s="364"/>
      <c r="N503" s="364"/>
      <c r="O503" s="364"/>
      <c r="P503" s="364"/>
      <c r="Q503" s="364"/>
      <c r="R503" s="364"/>
      <c r="S503" s="364"/>
      <c r="T503" s="364"/>
      <c r="U503" s="364"/>
    </row>
    <row r="504" spans="1:21" ht="12.75">
      <c r="A504" s="364"/>
      <c r="B504" s="364"/>
      <c r="C504" s="364"/>
      <c r="D504" s="364"/>
      <c r="E504" s="364"/>
      <c r="F504" s="364"/>
      <c r="G504" s="364"/>
      <c r="H504" s="364"/>
      <c r="I504" s="364"/>
      <c r="J504" s="364"/>
      <c r="K504" s="364"/>
      <c r="L504" s="364"/>
      <c r="M504" s="364"/>
      <c r="N504" s="364"/>
      <c r="O504" s="364"/>
      <c r="P504" s="364"/>
      <c r="Q504" s="364"/>
      <c r="R504" s="364"/>
      <c r="S504" s="364"/>
      <c r="T504" s="364"/>
      <c r="U504" s="364"/>
    </row>
    <row r="505" spans="1:255" ht="12.75">
      <c r="A505" s="364"/>
      <c r="B505" s="364"/>
      <c r="C505" s="364"/>
      <c r="D505" s="364"/>
      <c r="E505" s="364"/>
      <c r="F505" s="364"/>
      <c r="G505" s="364"/>
      <c r="H505" s="364"/>
      <c r="I505" s="364"/>
      <c r="J505" s="364"/>
      <c r="K505" s="364"/>
      <c r="L505" s="364"/>
      <c r="M505" s="364"/>
      <c r="N505" s="364"/>
      <c r="O505" s="364"/>
      <c r="P505" s="364"/>
      <c r="Q505" s="364"/>
      <c r="R505" s="364"/>
      <c r="S505" s="364"/>
      <c r="T505" s="364"/>
      <c r="U505" s="364"/>
      <c r="IU505" t="s">
        <v>298</v>
      </c>
    </row>
  </sheetData>
  <sheetProtection password="EB64" sheet="1" objects="1" scenarios="1"/>
  <mergeCells count="3068">
    <mergeCell ref="EP131:EQ131"/>
    <mergeCell ref="FC222:FD222"/>
    <mergeCell ref="FC223:FD223"/>
    <mergeCell ref="FC220:FD220"/>
    <mergeCell ref="FC221:FD221"/>
    <mergeCell ref="DQ131:DR131"/>
    <mergeCell ref="DT131:DU131"/>
    <mergeCell ref="DX131:DY131"/>
    <mergeCell ref="ED131:EE131"/>
    <mergeCell ref="ET131:EU131"/>
    <mergeCell ref="EG131:EH131"/>
    <mergeCell ref="DX170:DY170"/>
    <mergeCell ref="ED170:EE170"/>
    <mergeCell ref="EG170:EH170"/>
    <mergeCell ref="EK170:EL170"/>
    <mergeCell ref="EN170:EO170"/>
    <mergeCell ref="EP170:EQ170"/>
    <mergeCell ref="FR142:FS142"/>
    <mergeCell ref="E3:H3"/>
    <mergeCell ref="I3:AB3"/>
    <mergeCell ref="AF12:AL12"/>
    <mergeCell ref="AF13:AL13"/>
    <mergeCell ref="BH138:BT138"/>
    <mergeCell ref="AF41:AL43"/>
    <mergeCell ref="N64:O64"/>
    <mergeCell ref="EK131:EL131"/>
    <mergeCell ref="EN131:EO131"/>
    <mergeCell ref="X37:AA37"/>
    <mergeCell ref="F38:I38"/>
    <mergeCell ref="X36:AA36"/>
    <mergeCell ref="C416:C420"/>
    <mergeCell ref="AA172:AC172"/>
    <mergeCell ref="E172:H172"/>
    <mergeCell ref="I172:L172"/>
    <mergeCell ref="M172:P172"/>
    <mergeCell ref="V172:Y172"/>
    <mergeCell ref="R63:S63"/>
    <mergeCell ref="AS107:AU107"/>
    <mergeCell ref="AS108:AU108"/>
    <mergeCell ref="Y1:AD1"/>
    <mergeCell ref="X44:AA44"/>
    <mergeCell ref="E4:AB4"/>
    <mergeCell ref="E23:AB23"/>
    <mergeCell ref="X43:AA43"/>
    <mergeCell ref="F44:I44"/>
    <mergeCell ref="S44:V44"/>
    <mergeCell ref="AF44:AG44"/>
    <mergeCell ref="AH44:AL44"/>
    <mergeCell ref="X57:AA57"/>
    <mergeCell ref="U59:V59"/>
    <mergeCell ref="X59:AA59"/>
    <mergeCell ref="X53:AA53"/>
    <mergeCell ref="X46:AA46"/>
    <mergeCell ref="J51:AB51"/>
    <mergeCell ref="S53:V53"/>
    <mergeCell ref="F53:L53"/>
    <mergeCell ref="M53:P53"/>
    <mergeCell ref="CQ139:DA139"/>
    <mergeCell ref="CV143:CX143"/>
    <mergeCell ref="Q53:R53"/>
    <mergeCell ref="G60:I60"/>
    <mergeCell ref="K64:M64"/>
    <mergeCell ref="G64:I64"/>
    <mergeCell ref="G63:I63"/>
    <mergeCell ref="K63:M63"/>
    <mergeCell ref="K60:M60"/>
    <mergeCell ref="N63:O63"/>
    <mergeCell ref="ED222:EE222"/>
    <mergeCell ref="DX219:DY219"/>
    <mergeCell ref="DQ180:DR180"/>
    <mergeCell ref="DQ193:DR193"/>
    <mergeCell ref="DQ185:DR185"/>
    <mergeCell ref="W67:X67"/>
    <mergeCell ref="DQ187:DR187"/>
    <mergeCell ref="DQ186:DR186"/>
    <mergeCell ref="DQ189:DR189"/>
    <mergeCell ref="CQ138:DA138"/>
    <mergeCell ref="ER236:ES236"/>
    <mergeCell ref="ER235:ES235"/>
    <mergeCell ref="ER240:ES240"/>
    <mergeCell ref="ET240:EU240"/>
    <mergeCell ref="DQ195:DR195"/>
    <mergeCell ref="DQ194:DR194"/>
    <mergeCell ref="DX213:DY213"/>
    <mergeCell ref="ED213:EE213"/>
    <mergeCell ref="DX210:DY210"/>
    <mergeCell ref="DX222:DY222"/>
    <mergeCell ref="BH139:BT139"/>
    <mergeCell ref="BU138:CE138"/>
    <mergeCell ref="DQ184:DR184"/>
    <mergeCell ref="FG142:FH142"/>
    <mergeCell ref="ET239:EU239"/>
    <mergeCell ref="ET238:EU238"/>
    <mergeCell ref="ER239:ES239"/>
    <mergeCell ref="ET237:EU237"/>
    <mergeCell ref="ER238:ES238"/>
    <mergeCell ref="ET236:EU236"/>
    <mergeCell ref="EP241:EQ241"/>
    <mergeCell ref="EK242:EL242"/>
    <mergeCell ref="EN242:EO242"/>
    <mergeCell ref="ER241:ES241"/>
    <mergeCell ref="ER242:ES242"/>
    <mergeCell ref="ED242:EE242"/>
    <mergeCell ref="EG242:EH242"/>
    <mergeCell ref="DQ221:DR221"/>
    <mergeCell ref="DQ222:DR222"/>
    <mergeCell ref="AG172:AH172"/>
    <mergeCell ref="Q175:U175"/>
    <mergeCell ref="Q174:U174"/>
    <mergeCell ref="AA174:AC174"/>
    <mergeCell ref="AD172:AF172"/>
    <mergeCell ref="AN172:AR172"/>
    <mergeCell ref="AT172:AV172"/>
    <mergeCell ref="AW172:AY172"/>
    <mergeCell ref="DX238:DY238"/>
    <mergeCell ref="ED238:EE238"/>
    <mergeCell ref="AI172:AM172"/>
    <mergeCell ref="Q172:U172"/>
    <mergeCell ref="Q173:U173"/>
    <mergeCell ref="DT241:DU241"/>
    <mergeCell ref="DT238:DU238"/>
    <mergeCell ref="DT221:DU221"/>
    <mergeCell ref="DT222:DU222"/>
    <mergeCell ref="DQ223:DR223"/>
    <mergeCell ref="DX239:DY239"/>
    <mergeCell ref="DQ237:DR237"/>
    <mergeCell ref="DT237:DU237"/>
    <mergeCell ref="DX237:DY237"/>
    <mergeCell ref="ED237:EE237"/>
    <mergeCell ref="DT216:DU216"/>
    <mergeCell ref="DQ238:DR238"/>
    <mergeCell ref="ED216:EE216"/>
    <mergeCell ref="ED239:EE239"/>
    <mergeCell ref="ED219:EE219"/>
    <mergeCell ref="EK240:EL240"/>
    <mergeCell ref="EN240:EO240"/>
    <mergeCell ref="DX241:DY241"/>
    <mergeCell ref="EK241:EL241"/>
    <mergeCell ref="EN241:EO241"/>
    <mergeCell ref="EG241:EH241"/>
    <mergeCell ref="EG240:EH240"/>
    <mergeCell ref="DX240:DY240"/>
    <mergeCell ref="ED240:EE240"/>
    <mergeCell ref="ED241:EE241"/>
    <mergeCell ref="EK239:EL239"/>
    <mergeCell ref="EN239:EO239"/>
    <mergeCell ref="EP239:EQ239"/>
    <mergeCell ref="EG238:EH238"/>
    <mergeCell ref="EK238:EL238"/>
    <mergeCell ref="EN238:EO238"/>
    <mergeCell ref="EP238:EQ238"/>
    <mergeCell ref="EG239:EH239"/>
    <mergeCell ref="ET235:EU235"/>
    <mergeCell ref="EG236:EH236"/>
    <mergeCell ref="EK236:EL236"/>
    <mergeCell ref="EN236:EO236"/>
    <mergeCell ref="EP236:EQ236"/>
    <mergeCell ref="EG237:EH237"/>
    <mergeCell ref="EK237:EL237"/>
    <mergeCell ref="EN237:EO237"/>
    <mergeCell ref="EP237:EQ237"/>
    <mergeCell ref="ER237:ES237"/>
    <mergeCell ref="ER234:ES234"/>
    <mergeCell ref="ET234:EU234"/>
    <mergeCell ref="DQ235:DR235"/>
    <mergeCell ref="DT235:DU235"/>
    <mergeCell ref="DX235:DY235"/>
    <mergeCell ref="ED235:EE235"/>
    <mergeCell ref="EG235:EH235"/>
    <mergeCell ref="EK235:EL235"/>
    <mergeCell ref="EN235:EO235"/>
    <mergeCell ref="EP235:EQ235"/>
    <mergeCell ref="ER233:ES233"/>
    <mergeCell ref="ET233:EU233"/>
    <mergeCell ref="DQ234:DR234"/>
    <mergeCell ref="DT234:DU234"/>
    <mergeCell ref="DX234:DY234"/>
    <mergeCell ref="ED234:EE234"/>
    <mergeCell ref="EG234:EH234"/>
    <mergeCell ref="EK234:EL234"/>
    <mergeCell ref="EN234:EO234"/>
    <mergeCell ref="EP234:EQ234"/>
    <mergeCell ref="ER232:ES232"/>
    <mergeCell ref="ET232:EU232"/>
    <mergeCell ref="DQ233:DR233"/>
    <mergeCell ref="DT233:DU233"/>
    <mergeCell ref="DX233:DY233"/>
    <mergeCell ref="ED233:EE233"/>
    <mergeCell ref="EG233:EH233"/>
    <mergeCell ref="EK233:EL233"/>
    <mergeCell ref="EN233:EO233"/>
    <mergeCell ref="EP233:EQ233"/>
    <mergeCell ref="ER231:ES231"/>
    <mergeCell ref="ET231:EU231"/>
    <mergeCell ref="DQ232:DR232"/>
    <mergeCell ref="DT232:DU232"/>
    <mergeCell ref="DX232:DY232"/>
    <mergeCell ref="ED232:EE232"/>
    <mergeCell ref="EG232:EH232"/>
    <mergeCell ref="EK232:EL232"/>
    <mergeCell ref="EN232:EO232"/>
    <mergeCell ref="EP232:EQ232"/>
    <mergeCell ref="ER230:ES230"/>
    <mergeCell ref="ET230:EU230"/>
    <mergeCell ref="DQ231:DR231"/>
    <mergeCell ref="DT231:DU231"/>
    <mergeCell ref="DX231:DY231"/>
    <mergeCell ref="ED231:EE231"/>
    <mergeCell ref="EG231:EH231"/>
    <mergeCell ref="EK231:EL231"/>
    <mergeCell ref="EN231:EO231"/>
    <mergeCell ref="EP231:EQ231"/>
    <mergeCell ref="ER229:ES229"/>
    <mergeCell ref="ET229:EU229"/>
    <mergeCell ref="DQ230:DR230"/>
    <mergeCell ref="DT230:DU230"/>
    <mergeCell ref="DX230:DY230"/>
    <mergeCell ref="ED230:EE230"/>
    <mergeCell ref="EG230:EH230"/>
    <mergeCell ref="EK230:EL230"/>
    <mergeCell ref="EN230:EO230"/>
    <mergeCell ref="EP230:EQ230"/>
    <mergeCell ref="ER228:ES228"/>
    <mergeCell ref="ET228:EU228"/>
    <mergeCell ref="DQ229:DR229"/>
    <mergeCell ref="DT229:DU229"/>
    <mergeCell ref="DX229:DY229"/>
    <mergeCell ref="ED229:EE229"/>
    <mergeCell ref="EG229:EH229"/>
    <mergeCell ref="EK229:EL229"/>
    <mergeCell ref="EN229:EO229"/>
    <mergeCell ref="EP229:EQ229"/>
    <mergeCell ref="ER227:ES227"/>
    <mergeCell ref="ET227:EU227"/>
    <mergeCell ref="DQ228:DR228"/>
    <mergeCell ref="DT228:DU228"/>
    <mergeCell ref="DX228:DY228"/>
    <mergeCell ref="ED228:EE228"/>
    <mergeCell ref="EG228:EH228"/>
    <mergeCell ref="EK228:EL228"/>
    <mergeCell ref="EN228:EO228"/>
    <mergeCell ref="EP228:EQ228"/>
    <mergeCell ref="ER226:ES226"/>
    <mergeCell ref="ET226:EU226"/>
    <mergeCell ref="DQ227:DR227"/>
    <mergeCell ref="DT227:DU227"/>
    <mergeCell ref="DX227:DY227"/>
    <mergeCell ref="ED227:EE227"/>
    <mergeCell ref="EG227:EH227"/>
    <mergeCell ref="EK227:EL227"/>
    <mergeCell ref="EN227:EO227"/>
    <mergeCell ref="EP227:EQ227"/>
    <mergeCell ref="ER225:ES225"/>
    <mergeCell ref="ET225:EU225"/>
    <mergeCell ref="DQ226:DR226"/>
    <mergeCell ref="DT226:DU226"/>
    <mergeCell ref="DX226:DY226"/>
    <mergeCell ref="ED226:EE226"/>
    <mergeCell ref="EG226:EH226"/>
    <mergeCell ref="EK226:EL226"/>
    <mergeCell ref="EN226:EO226"/>
    <mergeCell ref="EP226:EQ226"/>
    <mergeCell ref="ER224:ES224"/>
    <mergeCell ref="ET224:EU224"/>
    <mergeCell ref="DQ225:DR225"/>
    <mergeCell ref="DT225:DU225"/>
    <mergeCell ref="DX225:DY225"/>
    <mergeCell ref="ED225:EE225"/>
    <mergeCell ref="EG225:EH225"/>
    <mergeCell ref="EK225:EL225"/>
    <mergeCell ref="EN225:EO225"/>
    <mergeCell ref="EP225:EQ225"/>
    <mergeCell ref="DX224:DY224"/>
    <mergeCell ref="ED224:EE224"/>
    <mergeCell ref="EG224:EH224"/>
    <mergeCell ref="EK224:EL224"/>
    <mergeCell ref="EN224:EO224"/>
    <mergeCell ref="EP224:EQ224"/>
    <mergeCell ref="EP221:EQ221"/>
    <mergeCell ref="EG223:EH223"/>
    <mergeCell ref="EN223:EO223"/>
    <mergeCell ref="EP223:EQ223"/>
    <mergeCell ref="ER223:ES223"/>
    <mergeCell ref="ET223:EU223"/>
    <mergeCell ref="EN221:EO221"/>
    <mergeCell ref="EG222:EH222"/>
    <mergeCell ref="EK222:EL222"/>
    <mergeCell ref="EP220:EQ220"/>
    <mergeCell ref="ER220:ES220"/>
    <mergeCell ref="EG220:EH220"/>
    <mergeCell ref="EK220:EL220"/>
    <mergeCell ref="EN222:EO222"/>
    <mergeCell ref="EP222:EQ222"/>
    <mergeCell ref="ER222:ES222"/>
    <mergeCell ref="ET219:EU219"/>
    <mergeCell ref="EK218:EL218"/>
    <mergeCell ref="EN218:EO218"/>
    <mergeCell ref="EP218:EQ218"/>
    <mergeCell ref="ER221:ES221"/>
    <mergeCell ref="DX220:DY220"/>
    <mergeCell ref="ED220:EE220"/>
    <mergeCell ref="ED221:EE221"/>
    <mergeCell ref="EG221:EH221"/>
    <mergeCell ref="EK221:EL221"/>
    <mergeCell ref="ER218:ES218"/>
    <mergeCell ref="ER216:ES216"/>
    <mergeCell ref="ET216:EU216"/>
    <mergeCell ref="FE216:FH216"/>
    <mergeCell ref="EK219:EL219"/>
    <mergeCell ref="ER217:ES217"/>
    <mergeCell ref="ET217:EU217"/>
    <mergeCell ref="EN219:EO219"/>
    <mergeCell ref="EP219:EQ219"/>
    <mergeCell ref="ER219:ES219"/>
    <mergeCell ref="EK215:EL215"/>
    <mergeCell ref="EN215:EO215"/>
    <mergeCell ref="EP215:EQ215"/>
    <mergeCell ref="EG217:EH217"/>
    <mergeCell ref="EK217:EL217"/>
    <mergeCell ref="EN217:EO217"/>
    <mergeCell ref="EK216:EL216"/>
    <mergeCell ref="EN216:EO216"/>
    <mergeCell ref="EP216:EQ216"/>
    <mergeCell ref="EG215:EH215"/>
    <mergeCell ref="DX214:DY214"/>
    <mergeCell ref="ED214:EE214"/>
    <mergeCell ref="EG214:EH214"/>
    <mergeCell ref="EK214:EL214"/>
    <mergeCell ref="EN214:EO214"/>
    <mergeCell ref="EP214:EQ214"/>
    <mergeCell ref="EK213:EL213"/>
    <mergeCell ref="EN212:EO212"/>
    <mergeCell ref="EP212:EQ212"/>
    <mergeCell ref="EN213:EO213"/>
    <mergeCell ref="EP213:EQ213"/>
    <mergeCell ref="EK212:EL212"/>
    <mergeCell ref="ER297:ES297"/>
    <mergeCell ref="ER298:ES298"/>
    <mergeCell ref="ER299:ES299"/>
    <mergeCell ref="ER276:ES276"/>
    <mergeCell ref="ER296:ES296"/>
    <mergeCell ref="ER290:ES290"/>
    <mergeCell ref="ER283:ES283"/>
    <mergeCell ref="ER285:ES285"/>
    <mergeCell ref="ER294:ES294"/>
    <mergeCell ref="ER295:ES295"/>
    <mergeCell ref="EG210:EH210"/>
    <mergeCell ref="EK210:EL210"/>
    <mergeCell ref="ED210:EE210"/>
    <mergeCell ref="CY145:DA145"/>
    <mergeCell ref="CY146:DA146"/>
    <mergeCell ref="DQ210:DR210"/>
    <mergeCell ref="DQ167:DR167"/>
    <mergeCell ref="DQ183:DR183"/>
    <mergeCell ref="DQ206:DR206"/>
    <mergeCell ref="DQ202:DR202"/>
    <mergeCell ref="CR144:CS144"/>
    <mergeCell ref="CV144:CX144"/>
    <mergeCell ref="DX251:DY251"/>
    <mergeCell ref="DX253:DY253"/>
    <mergeCell ref="DQ252:DR252"/>
    <mergeCell ref="DX252:DY252"/>
    <mergeCell ref="DT251:DU251"/>
    <mergeCell ref="DQ212:DR212"/>
    <mergeCell ref="DQ160:DR160"/>
    <mergeCell ref="DQ158:DR158"/>
    <mergeCell ref="CK145:CM145"/>
    <mergeCell ref="CV146:CX146"/>
    <mergeCell ref="CR146:CS146"/>
    <mergeCell ref="CT146:CU146"/>
    <mergeCell ref="CN145:CP145"/>
    <mergeCell ref="CR145:CS145"/>
    <mergeCell ref="CT145:CU145"/>
    <mergeCell ref="CV145:CX145"/>
    <mergeCell ref="CK146:CM146"/>
    <mergeCell ref="CN146:CP146"/>
    <mergeCell ref="DQ246:DR246"/>
    <mergeCell ref="DQ242:DR242"/>
    <mergeCell ref="DQ213:DR213"/>
    <mergeCell ref="DQ214:DR214"/>
    <mergeCell ref="DQ216:DR216"/>
    <mergeCell ref="DQ218:DR218"/>
    <mergeCell ref="DQ219:DR219"/>
    <mergeCell ref="DQ220:DR220"/>
    <mergeCell ref="DQ217:DR217"/>
    <mergeCell ref="DQ236:DR236"/>
    <mergeCell ref="DT223:DU223"/>
    <mergeCell ref="DT236:DU236"/>
    <mergeCell ref="DQ240:DR240"/>
    <mergeCell ref="DT240:DU240"/>
    <mergeCell ref="DQ241:DR241"/>
    <mergeCell ref="DQ196:DR196"/>
    <mergeCell ref="DQ224:DR224"/>
    <mergeCell ref="DT224:DU224"/>
    <mergeCell ref="DQ239:DR239"/>
    <mergeCell ref="DT239:DU239"/>
    <mergeCell ref="CC141:CE141"/>
    <mergeCell ref="DT212:DU212"/>
    <mergeCell ref="DT186:DU186"/>
    <mergeCell ref="DT198:DU198"/>
    <mergeCell ref="DT197:DU197"/>
    <mergeCell ref="DT199:DU199"/>
    <mergeCell ref="DT194:DU194"/>
    <mergeCell ref="DT210:DU210"/>
    <mergeCell ref="DT189:DU189"/>
    <mergeCell ref="DT200:DU200"/>
    <mergeCell ref="CC143:CE143"/>
    <mergeCell ref="CC144:CE144"/>
    <mergeCell ref="BV145:BW145"/>
    <mergeCell ref="BZ143:CB143"/>
    <mergeCell ref="BV144:BW144"/>
    <mergeCell ref="BX144:BY144"/>
    <mergeCell ref="BZ144:CB144"/>
    <mergeCell ref="BX145:BY145"/>
    <mergeCell ref="BZ142:CB142"/>
    <mergeCell ref="CG149:CH149"/>
    <mergeCell ref="CI145:CJ145"/>
    <mergeCell ref="CG145:CH145"/>
    <mergeCell ref="BZ145:CB145"/>
    <mergeCell ref="CC145:CE145"/>
    <mergeCell ref="CG143:CH143"/>
    <mergeCell ref="CG142:CH142"/>
    <mergeCell ref="CG144:CH144"/>
    <mergeCell ref="CC142:CE142"/>
    <mergeCell ref="BR141:BT141"/>
    <mergeCell ref="AR145:AT145"/>
    <mergeCell ref="AZ144:BA144"/>
    <mergeCell ref="BO142:BQ142"/>
    <mergeCell ref="BO144:BQ144"/>
    <mergeCell ref="BE144:BG144"/>
    <mergeCell ref="AV143:AW143"/>
    <mergeCell ref="AX143:AY143"/>
    <mergeCell ref="AG159:AH159"/>
    <mergeCell ref="AG161:AH161"/>
    <mergeCell ref="AG162:AH162"/>
    <mergeCell ref="AG160:AH160"/>
    <mergeCell ref="AI159:AM159"/>
    <mergeCell ref="BM141:BN141"/>
    <mergeCell ref="AD163:AF163"/>
    <mergeCell ref="AG163:AH163"/>
    <mergeCell ref="DT244:DU244"/>
    <mergeCell ref="DQ244:DR244"/>
    <mergeCell ref="DT218:DU218"/>
    <mergeCell ref="DT219:DU219"/>
    <mergeCell ref="DT220:DU220"/>
    <mergeCell ref="DT242:DU242"/>
    <mergeCell ref="DQ191:DR191"/>
    <mergeCell ref="DQ190:DR190"/>
    <mergeCell ref="ER354:ES354"/>
    <mergeCell ref="ER351:ES351"/>
    <mergeCell ref="ER350:ES350"/>
    <mergeCell ref="ER352:ES352"/>
    <mergeCell ref="ER349:ES349"/>
    <mergeCell ref="ER348:ES348"/>
    <mergeCell ref="ER310:ES310"/>
    <mergeCell ref="ER315:ES315"/>
    <mergeCell ref="ER317:ES317"/>
    <mergeCell ref="ER316:ES316"/>
    <mergeCell ref="ER321:ES321"/>
    <mergeCell ref="ER353:ES353"/>
    <mergeCell ref="ER303:ES303"/>
    <mergeCell ref="ER304:ES304"/>
    <mergeCell ref="ER305:ES305"/>
    <mergeCell ref="ER306:ES306"/>
    <mergeCell ref="ER308:ES308"/>
    <mergeCell ref="ER309:ES309"/>
    <mergeCell ref="ER307:ES307"/>
    <mergeCell ref="ER288:ES288"/>
    <mergeCell ref="ER272:ES272"/>
    <mergeCell ref="ER273:ES273"/>
    <mergeCell ref="ER274:ES274"/>
    <mergeCell ref="ER282:ES282"/>
    <mergeCell ref="ER286:ES286"/>
    <mergeCell ref="ER287:ES287"/>
    <mergeCell ref="ER275:ES275"/>
    <mergeCell ref="ER284:ES284"/>
    <mergeCell ref="ER259:ES259"/>
    <mergeCell ref="ER260:ES260"/>
    <mergeCell ref="ER210:ES210"/>
    <mergeCell ref="ET210:EU210"/>
    <mergeCell ref="ER212:ES212"/>
    <mergeCell ref="ET212:EU212"/>
    <mergeCell ref="ER213:ES213"/>
    <mergeCell ref="ET213:EU213"/>
    <mergeCell ref="ER214:ES214"/>
    <mergeCell ref="ET214:EU214"/>
    <mergeCell ref="ET199:EU199"/>
    <mergeCell ref="ET204:EU204"/>
    <mergeCell ref="ET202:EU202"/>
    <mergeCell ref="ET203:EU203"/>
    <mergeCell ref="ET191:EU191"/>
    <mergeCell ref="ET193:EU193"/>
    <mergeCell ref="ET194:EU194"/>
    <mergeCell ref="ET198:EU198"/>
    <mergeCell ref="DX249:DY249"/>
    <mergeCell ref="DQ250:DR250"/>
    <mergeCell ref="DT250:DU250"/>
    <mergeCell ref="DX250:DY250"/>
    <mergeCell ref="DQ249:DR249"/>
    <mergeCell ref="DT249:DU249"/>
    <mergeCell ref="FF270:FI270"/>
    <mergeCell ref="EV249:FA249"/>
    <mergeCell ref="ET249:EU249"/>
    <mergeCell ref="ET250:EU250"/>
    <mergeCell ref="ET254:EU254"/>
    <mergeCell ref="ET255:EU255"/>
    <mergeCell ref="ET256:EU256"/>
    <mergeCell ref="ET257:EU257"/>
    <mergeCell ref="FF269:FI269"/>
    <mergeCell ref="FF264:FI264"/>
    <mergeCell ref="ER164:ES164"/>
    <mergeCell ref="ER165:ES165"/>
    <mergeCell ref="ER166:ES166"/>
    <mergeCell ref="EX174:EY174"/>
    <mergeCell ref="EZ174:FA174"/>
    <mergeCell ref="ET176:EU176"/>
    <mergeCell ref="EV176:EW176"/>
    <mergeCell ref="EX176:EY176"/>
    <mergeCell ref="EZ176:FA176"/>
    <mergeCell ref="ET165:EU165"/>
    <mergeCell ref="ER263:ES263"/>
    <mergeCell ref="FE182:FH182"/>
    <mergeCell ref="FE183:FH183"/>
    <mergeCell ref="ET182:EU182"/>
    <mergeCell ref="ET183:EU183"/>
    <mergeCell ref="FG176:FH176"/>
    <mergeCell ref="ET206:EU206"/>
    <mergeCell ref="ET205:EU205"/>
    <mergeCell ref="ET192:EU192"/>
    <mergeCell ref="ET195:EU195"/>
    <mergeCell ref="EG168:EH168"/>
    <mergeCell ref="EK168:EL168"/>
    <mergeCell ref="FF268:FI268"/>
    <mergeCell ref="EV250:FA250"/>
    <mergeCell ref="ER253:ES253"/>
    <mergeCell ref="ER254:ES254"/>
    <mergeCell ref="ER255:ES255"/>
    <mergeCell ref="ER256:ES256"/>
    <mergeCell ref="ER257:ES257"/>
    <mergeCell ref="EV253:FA253"/>
    <mergeCell ref="ER185:ES185"/>
    <mergeCell ref="EN168:EO168"/>
    <mergeCell ref="ET168:EU168"/>
    <mergeCell ref="EP168:EQ168"/>
    <mergeCell ref="EK167:EL167"/>
    <mergeCell ref="ET167:EU167"/>
    <mergeCell ref="ET178:EU178"/>
    <mergeCell ref="ET163:EU163"/>
    <mergeCell ref="EP169:EQ169"/>
    <mergeCell ref="ER195:ES195"/>
    <mergeCell ref="ER207:ES207"/>
    <mergeCell ref="FC106:FD106"/>
    <mergeCell ref="EP193:EQ193"/>
    <mergeCell ref="EP165:EQ165"/>
    <mergeCell ref="EP167:EQ167"/>
    <mergeCell ref="ER188:ES188"/>
    <mergeCell ref="ER189:ES189"/>
    <mergeCell ref="ER201:ES201"/>
    <mergeCell ref="FC105:FD105"/>
    <mergeCell ref="ET180:EU180"/>
    <mergeCell ref="ET181:EU181"/>
    <mergeCell ref="ET174:EU174"/>
    <mergeCell ref="EV174:EW174"/>
    <mergeCell ref="ET172:EU172"/>
    <mergeCell ref="ET169:EU169"/>
    <mergeCell ref="ET170:EU170"/>
    <mergeCell ref="ET164:EU164"/>
    <mergeCell ref="ER184:ES184"/>
    <mergeCell ref="ER176:ES176"/>
    <mergeCell ref="ER178:ES178"/>
    <mergeCell ref="ER208:ES208"/>
    <mergeCell ref="ER197:ES197"/>
    <mergeCell ref="ER206:ES206"/>
    <mergeCell ref="ER203:ES203"/>
    <mergeCell ref="ER200:ES200"/>
    <mergeCell ref="ER198:ES198"/>
    <mergeCell ref="ER204:ES204"/>
    <mergeCell ref="EN196:EO196"/>
    <mergeCell ref="ET200:EU200"/>
    <mergeCell ref="EP203:EQ203"/>
    <mergeCell ref="EP202:EQ202"/>
    <mergeCell ref="ER199:ES199"/>
    <mergeCell ref="ER196:ES196"/>
    <mergeCell ref="ET196:EU196"/>
    <mergeCell ref="ET197:EU197"/>
    <mergeCell ref="ET201:EU201"/>
    <mergeCell ref="ER202:ES202"/>
    <mergeCell ref="ER192:ES192"/>
    <mergeCell ref="EN195:EO195"/>
    <mergeCell ref="EP195:EQ195"/>
    <mergeCell ref="ER194:ES194"/>
    <mergeCell ref="EN192:EO192"/>
    <mergeCell ref="EP192:EQ192"/>
    <mergeCell ref="ER193:ES193"/>
    <mergeCell ref="EP194:EQ194"/>
    <mergeCell ref="EN179:EO179"/>
    <mergeCell ref="EP182:EQ182"/>
    <mergeCell ref="EN182:EO182"/>
    <mergeCell ref="EN180:EO180"/>
    <mergeCell ref="EN183:EO183"/>
    <mergeCell ref="ER191:ES191"/>
    <mergeCell ref="EP191:EQ191"/>
    <mergeCell ref="EP190:EQ190"/>
    <mergeCell ref="EP181:EQ181"/>
    <mergeCell ref="ER182:ES182"/>
    <mergeCell ref="EN197:EO197"/>
    <mergeCell ref="EN198:EO198"/>
    <mergeCell ref="EN201:EO201"/>
    <mergeCell ref="EK203:EL203"/>
    <mergeCell ref="EK205:EL205"/>
    <mergeCell ref="EN205:EO205"/>
    <mergeCell ref="EK198:EL198"/>
    <mergeCell ref="EK204:EL204"/>
    <mergeCell ref="EN204:EO204"/>
    <mergeCell ref="EP205:EQ205"/>
    <mergeCell ref="EP204:EQ204"/>
    <mergeCell ref="EK206:EL206"/>
    <mergeCell ref="EN199:EO199"/>
    <mergeCell ref="EN206:EO206"/>
    <mergeCell ref="EN202:EO202"/>
    <mergeCell ref="EN203:EO203"/>
    <mergeCell ref="DQ188:DR188"/>
    <mergeCell ref="DX194:DY194"/>
    <mergeCell ref="DX197:DY197"/>
    <mergeCell ref="DX193:DY193"/>
    <mergeCell ref="EK194:EL194"/>
    <mergeCell ref="EK195:EL195"/>
    <mergeCell ref="EG197:EH197"/>
    <mergeCell ref="EK192:EL192"/>
    <mergeCell ref="AD171:AF171"/>
    <mergeCell ref="AG171:AH171"/>
    <mergeCell ref="AJ142:AK142"/>
    <mergeCell ref="AA162:AC162"/>
    <mergeCell ref="AD160:AF160"/>
    <mergeCell ref="AD162:AF162"/>
    <mergeCell ref="AD152:AF152"/>
    <mergeCell ref="AA161:AC161"/>
    <mergeCell ref="AD159:AF159"/>
    <mergeCell ref="AA159:AC159"/>
    <mergeCell ref="AD161:AF161"/>
    <mergeCell ref="AA160:AC160"/>
    <mergeCell ref="AW108:AX108"/>
    <mergeCell ref="U65:W65"/>
    <mergeCell ref="E70:AB71"/>
    <mergeCell ref="R65:S65"/>
    <mergeCell ref="G65:I65"/>
    <mergeCell ref="K65:M65"/>
    <mergeCell ref="N65:O65"/>
    <mergeCell ref="F66:Q66"/>
    <mergeCell ref="FK244:FN244"/>
    <mergeCell ref="FM245:FN245"/>
    <mergeCell ref="V140:W140"/>
    <mergeCell ref="EV244:EW244"/>
    <mergeCell ref="EX244:EY244"/>
    <mergeCell ref="EZ244:FA244"/>
    <mergeCell ref="EV208:EW208"/>
    <mergeCell ref="EX208:EY208"/>
    <mergeCell ref="FG244:FH244"/>
    <mergeCell ref="EZ208:FA208"/>
    <mergeCell ref="FK248:FN248"/>
    <mergeCell ref="FM247:FN247"/>
    <mergeCell ref="FF262:FI262"/>
    <mergeCell ref="EV248:FA248"/>
    <mergeCell ref="EV251:FA251"/>
    <mergeCell ref="EV252:FA252"/>
    <mergeCell ref="FC252:FD252"/>
    <mergeCell ref="FC253:FD253"/>
    <mergeCell ref="EV246:FA246"/>
    <mergeCell ref="EV210:EW210"/>
    <mergeCell ref="EX210:EY210"/>
    <mergeCell ref="EZ210:FA210"/>
    <mergeCell ref="EZ242:FA242"/>
    <mergeCell ref="EV242:EW242"/>
    <mergeCell ref="EX242:EY242"/>
    <mergeCell ref="FG210:FH210"/>
    <mergeCell ref="FF263:FI263"/>
    <mergeCell ref="FF259:FI259"/>
    <mergeCell ref="FF251:FI251"/>
    <mergeCell ref="FF250:FI250"/>
    <mergeCell ref="FF252:FI252"/>
    <mergeCell ref="FF253:FI253"/>
    <mergeCell ref="FE217:FH217"/>
    <mergeCell ref="FG222:FH222"/>
    <mergeCell ref="FE223:FH223"/>
    <mergeCell ref="ER377:ES377"/>
    <mergeCell ref="ET377:EU377"/>
    <mergeCell ref="ER378:ES378"/>
    <mergeCell ref="ET244:EU244"/>
    <mergeCell ref="ER375:ES375"/>
    <mergeCell ref="ET375:EU375"/>
    <mergeCell ref="ER376:ES376"/>
    <mergeCell ref="ET376:EU376"/>
    <mergeCell ref="ER373:ES373"/>
    <mergeCell ref="ET373:EU373"/>
    <mergeCell ref="ER369:ES369"/>
    <mergeCell ref="ET369:EU369"/>
    <mergeCell ref="ER370:ES370"/>
    <mergeCell ref="ET370:EU370"/>
    <mergeCell ref="ER374:ES374"/>
    <mergeCell ref="ET374:EU374"/>
    <mergeCell ref="ER371:ES371"/>
    <mergeCell ref="ET371:EU371"/>
    <mergeCell ref="ER372:ES372"/>
    <mergeCell ref="ET372:EU372"/>
    <mergeCell ref="ER366:ES366"/>
    <mergeCell ref="ET366:EU366"/>
    <mergeCell ref="ER367:ES367"/>
    <mergeCell ref="ET367:EU367"/>
    <mergeCell ref="ER368:ES368"/>
    <mergeCell ref="ET368:EU368"/>
    <mergeCell ref="ER363:ES363"/>
    <mergeCell ref="ET363:EU363"/>
    <mergeCell ref="ER364:ES364"/>
    <mergeCell ref="ET364:EU364"/>
    <mergeCell ref="ER365:ES365"/>
    <mergeCell ref="ET365:EU365"/>
    <mergeCell ref="ET351:EU351"/>
    <mergeCell ref="ER362:ES362"/>
    <mergeCell ref="ET362:EU362"/>
    <mergeCell ref="ER355:ES355"/>
    <mergeCell ref="ER356:ES356"/>
    <mergeCell ref="ER357:ES357"/>
    <mergeCell ref="ER358:ES358"/>
    <mergeCell ref="ER359:ES359"/>
    <mergeCell ref="ER360:ES360"/>
    <mergeCell ref="ER361:ES361"/>
    <mergeCell ref="ET349:EU349"/>
    <mergeCell ref="EV349:FA349"/>
    <mergeCell ref="FF349:FI349"/>
    <mergeCell ref="ET350:EU350"/>
    <mergeCell ref="EZ346:FA346"/>
    <mergeCell ref="FF351:FI351"/>
    <mergeCell ref="EV350:FA350"/>
    <mergeCell ref="FF350:FI350"/>
    <mergeCell ref="FG346:FH346"/>
    <mergeCell ref="EV346:EW346"/>
    <mergeCell ref="EV318:FA318"/>
    <mergeCell ref="ET335:EU335"/>
    <mergeCell ref="ET336:EU336"/>
    <mergeCell ref="ET337:EU337"/>
    <mergeCell ref="EV321:FA321"/>
    <mergeCell ref="EV322:FA322"/>
    <mergeCell ref="EV319:FA319"/>
    <mergeCell ref="EV320:FA320"/>
    <mergeCell ref="ET318:EU318"/>
    <mergeCell ref="ET319:EU319"/>
    <mergeCell ref="EV348:FA348"/>
    <mergeCell ref="ER326:ES326"/>
    <mergeCell ref="ER335:ES335"/>
    <mergeCell ref="ER336:ES336"/>
    <mergeCell ref="ER327:ES327"/>
    <mergeCell ref="ER328:ES328"/>
    <mergeCell ref="ER329:ES329"/>
    <mergeCell ref="ER330:ES330"/>
    <mergeCell ref="EX346:EY346"/>
    <mergeCell ref="ER339:ES339"/>
    <mergeCell ref="ER340:ES340"/>
    <mergeCell ref="ER341:ES341"/>
    <mergeCell ref="ER342:ES342"/>
    <mergeCell ref="ER343:ES343"/>
    <mergeCell ref="ET348:EU348"/>
    <mergeCell ref="ET342:EU342"/>
    <mergeCell ref="ER337:ES337"/>
    <mergeCell ref="ET341:EU341"/>
    <mergeCell ref="ER331:ES331"/>
    <mergeCell ref="ER323:ES323"/>
    <mergeCell ref="ER346:ES346"/>
    <mergeCell ref="ER333:ES333"/>
    <mergeCell ref="ER334:ES334"/>
    <mergeCell ref="ER344:ES344"/>
    <mergeCell ref="ER338:ES338"/>
    <mergeCell ref="EX312:EY312"/>
    <mergeCell ref="ET320:EU320"/>
    <mergeCell ref="ET346:EU346"/>
    <mergeCell ref="ET343:EU343"/>
    <mergeCell ref="ET338:EU338"/>
    <mergeCell ref="ET323:EU323"/>
    <mergeCell ref="ET334:EU334"/>
    <mergeCell ref="ET339:EU339"/>
    <mergeCell ref="ET340:EU340"/>
    <mergeCell ref="ET322:EU322"/>
    <mergeCell ref="EV316:FA316"/>
    <mergeCell ref="ET314:EU314"/>
    <mergeCell ref="ET315:EU315"/>
    <mergeCell ref="ET317:EU317"/>
    <mergeCell ref="ET321:EU321"/>
    <mergeCell ref="ET291:EU291"/>
    <mergeCell ref="ET292:EU292"/>
    <mergeCell ref="ET293:EU293"/>
    <mergeCell ref="ET294:EU294"/>
    <mergeCell ref="EV317:FA317"/>
    <mergeCell ref="FG312:FH312"/>
    <mergeCell ref="FF316:FI316"/>
    <mergeCell ref="FF317:FI317"/>
    <mergeCell ref="FF315:FI315"/>
    <mergeCell ref="EV314:FA314"/>
    <mergeCell ref="ET312:EU312"/>
    <mergeCell ref="EV312:EW312"/>
    <mergeCell ref="ET316:EU316"/>
    <mergeCell ref="EZ312:FA312"/>
    <mergeCell ref="EV315:FA315"/>
    <mergeCell ref="ER332:ES332"/>
    <mergeCell ref="ET308:EU308"/>
    <mergeCell ref="ER322:ES322"/>
    <mergeCell ref="ER318:ES318"/>
    <mergeCell ref="ER325:ES325"/>
    <mergeCell ref="ER319:ES319"/>
    <mergeCell ref="ER320:ES320"/>
    <mergeCell ref="ER324:ES324"/>
    <mergeCell ref="ER312:ES312"/>
    <mergeCell ref="ER314:ES314"/>
    <mergeCell ref="ET309:EU309"/>
    <mergeCell ref="ET310:EU310"/>
    <mergeCell ref="ET295:EU295"/>
    <mergeCell ref="ET296:EU296"/>
    <mergeCell ref="ET290:EU290"/>
    <mergeCell ref="ET283:EU283"/>
    <mergeCell ref="ET307:EU307"/>
    <mergeCell ref="FG278:FH278"/>
    <mergeCell ref="FF282:FI282"/>
    <mergeCell ref="EX278:EY278"/>
    <mergeCell ref="EZ278:FA278"/>
    <mergeCell ref="FF281:FI281"/>
    <mergeCell ref="EV310:FA310"/>
    <mergeCell ref="ET289:EU289"/>
    <mergeCell ref="ET248:EU248"/>
    <mergeCell ref="EV278:EW278"/>
    <mergeCell ref="ET288:EU288"/>
    <mergeCell ref="ET280:EU280"/>
    <mergeCell ref="ET281:EU281"/>
    <mergeCell ref="ET282:EU282"/>
    <mergeCell ref="ET285:EU285"/>
    <mergeCell ref="ET263:EU263"/>
    <mergeCell ref="ET266:EU266"/>
    <mergeCell ref="ET258:EU258"/>
    <mergeCell ref="ET265:EU265"/>
    <mergeCell ref="ET268:EU268"/>
    <mergeCell ref="ET251:EU251"/>
    <mergeCell ref="ET267:EU267"/>
    <mergeCell ref="ET262:EU262"/>
    <mergeCell ref="ET260:EU260"/>
    <mergeCell ref="ET261:EU261"/>
    <mergeCell ref="ET284:EU284"/>
    <mergeCell ref="ET259:EU259"/>
    <mergeCell ref="ET264:EU264"/>
    <mergeCell ref="ET275:EU275"/>
    <mergeCell ref="ET276:EU276"/>
    <mergeCell ref="ET273:EU273"/>
    <mergeCell ref="ET274:EU274"/>
    <mergeCell ref="ET287:EU287"/>
    <mergeCell ref="EV247:FA247"/>
    <mergeCell ref="ET269:EU269"/>
    <mergeCell ref="ET270:EU270"/>
    <mergeCell ref="ET271:EU271"/>
    <mergeCell ref="ET272:EU272"/>
    <mergeCell ref="ET252:EU252"/>
    <mergeCell ref="ET253:EU253"/>
    <mergeCell ref="ET286:EU286"/>
    <mergeCell ref="ET278:EU278"/>
    <mergeCell ref="ER244:ES244"/>
    <mergeCell ref="ER278:ES278"/>
    <mergeCell ref="ER280:ES280"/>
    <mergeCell ref="ER281:ES281"/>
    <mergeCell ref="ER258:ES258"/>
    <mergeCell ref="ER264:ES264"/>
    <mergeCell ref="ER265:ES265"/>
    <mergeCell ref="ER271:ES271"/>
    <mergeCell ref="ER261:ES261"/>
    <mergeCell ref="ER262:ES262"/>
    <mergeCell ref="ET246:EU246"/>
    <mergeCell ref="ET247:EU247"/>
    <mergeCell ref="ET208:EU208"/>
    <mergeCell ref="ET207:EU207"/>
    <mergeCell ref="ET218:EU218"/>
    <mergeCell ref="ET221:EU221"/>
    <mergeCell ref="ET241:EU241"/>
    <mergeCell ref="ET242:EU242"/>
    <mergeCell ref="ET220:EU220"/>
    <mergeCell ref="ET222:EU222"/>
    <mergeCell ref="ER301:ES301"/>
    <mergeCell ref="ER302:ES302"/>
    <mergeCell ref="ER205:ES205"/>
    <mergeCell ref="ER252:ES252"/>
    <mergeCell ref="ER266:ES266"/>
    <mergeCell ref="ER267:ES267"/>
    <mergeCell ref="ER268:ES268"/>
    <mergeCell ref="ER269:ES269"/>
    <mergeCell ref="ER270:ES270"/>
    <mergeCell ref="ER249:ES249"/>
    <mergeCell ref="ER300:ES300"/>
    <mergeCell ref="ER250:ES250"/>
    <mergeCell ref="ER251:ES251"/>
    <mergeCell ref="ER246:ES246"/>
    <mergeCell ref="ER247:ES247"/>
    <mergeCell ref="ER248:ES248"/>
    <mergeCell ref="ER291:ES291"/>
    <mergeCell ref="ER292:ES292"/>
    <mergeCell ref="ER293:ES293"/>
    <mergeCell ref="ER289:ES289"/>
    <mergeCell ref="ET189:EU189"/>
    <mergeCell ref="ET190:EU190"/>
    <mergeCell ref="ER186:ES186"/>
    <mergeCell ref="ER187:ES187"/>
    <mergeCell ref="ER190:ES190"/>
    <mergeCell ref="ET186:EU186"/>
    <mergeCell ref="ET187:EU187"/>
    <mergeCell ref="ET188:EU188"/>
    <mergeCell ref="ER163:ES163"/>
    <mergeCell ref="ET184:EU184"/>
    <mergeCell ref="ET185:EU185"/>
    <mergeCell ref="ER179:ES179"/>
    <mergeCell ref="ER180:ES180"/>
    <mergeCell ref="ER181:ES181"/>
    <mergeCell ref="ET179:EU179"/>
    <mergeCell ref="ER171:ES171"/>
    <mergeCell ref="ER172:ES172"/>
    <mergeCell ref="ER183:ES183"/>
    <mergeCell ref="ER157:ES157"/>
    <mergeCell ref="ER158:ES158"/>
    <mergeCell ref="ER161:ES161"/>
    <mergeCell ref="ER162:ES162"/>
    <mergeCell ref="ER174:ES174"/>
    <mergeCell ref="ER167:ES167"/>
    <mergeCell ref="ER168:ES168"/>
    <mergeCell ref="ER169:ES169"/>
    <mergeCell ref="ER173:ES173"/>
    <mergeCell ref="ER170:ES170"/>
    <mergeCell ref="ER108:ES108"/>
    <mergeCell ref="ER110:ES110"/>
    <mergeCell ref="ER111:ES111"/>
    <mergeCell ref="ER112:ES112"/>
    <mergeCell ref="ER155:ES155"/>
    <mergeCell ref="ER156:ES156"/>
    <mergeCell ref="ER115:ES115"/>
    <mergeCell ref="ET162:EU162"/>
    <mergeCell ref="ER131:ES131"/>
    <mergeCell ref="ER132:ES132"/>
    <mergeCell ref="ER133:ES133"/>
    <mergeCell ref="ER134:ES134"/>
    <mergeCell ref="ER135:ES135"/>
    <mergeCell ref="ER136:ES136"/>
    <mergeCell ref="ER159:ES159"/>
    <mergeCell ref="ER160:ES160"/>
    <mergeCell ref="ET173:EU173"/>
    <mergeCell ref="ET171:EU171"/>
    <mergeCell ref="ET155:EU155"/>
    <mergeCell ref="ET156:EU156"/>
    <mergeCell ref="ET157:EU157"/>
    <mergeCell ref="ET158:EU158"/>
    <mergeCell ref="ET166:EU166"/>
    <mergeCell ref="ET159:EU159"/>
    <mergeCell ref="ET160:EU160"/>
    <mergeCell ref="ET161:EU161"/>
    <mergeCell ref="FE149:FH149"/>
    <mergeCell ref="ET144:EU144"/>
    <mergeCell ref="ET145:EU145"/>
    <mergeCell ref="ET146:EU146"/>
    <mergeCell ref="ET147:EU147"/>
    <mergeCell ref="ET148:EU148"/>
    <mergeCell ref="ET149:EU149"/>
    <mergeCell ref="FE148:FH148"/>
    <mergeCell ref="ET152:EU152"/>
    <mergeCell ref="ER140:ES140"/>
    <mergeCell ref="EZ142:FA142"/>
    <mergeCell ref="ET142:EU142"/>
    <mergeCell ref="EX140:EY140"/>
    <mergeCell ref="EV142:EW142"/>
    <mergeCell ref="ER142:ES142"/>
    <mergeCell ref="ER144:ES144"/>
    <mergeCell ref="ER147:ES147"/>
    <mergeCell ref="ER148:ES148"/>
    <mergeCell ref="EV140:EW140"/>
    <mergeCell ref="ET140:EU140"/>
    <mergeCell ref="ER123:ES123"/>
    <mergeCell ref="ER124:ES124"/>
    <mergeCell ref="ER125:ES125"/>
    <mergeCell ref="ER126:ES126"/>
    <mergeCell ref="ET124:EU124"/>
    <mergeCell ref="ET125:EU125"/>
    <mergeCell ref="ET139:EU139"/>
    <mergeCell ref="ER127:ES127"/>
    <mergeCell ref="ER122:ES122"/>
    <mergeCell ref="DT110:DU110"/>
    <mergeCell ref="EK110:EL110"/>
    <mergeCell ref="ER116:ES116"/>
    <mergeCell ref="ER117:ES117"/>
    <mergeCell ref="ER118:ES118"/>
    <mergeCell ref="ER119:ES119"/>
    <mergeCell ref="ER120:ES120"/>
    <mergeCell ref="ER113:ES113"/>
    <mergeCell ref="ER114:ES114"/>
    <mergeCell ref="DQ110:DR110"/>
    <mergeCell ref="EK113:EL113"/>
    <mergeCell ref="ED112:EE112"/>
    <mergeCell ref="ER121:ES121"/>
    <mergeCell ref="EK153:EL153"/>
    <mergeCell ref="EK146:EL146"/>
    <mergeCell ref="EK147:EL147"/>
    <mergeCell ref="EK144:EL144"/>
    <mergeCell ref="EK149:EL149"/>
    <mergeCell ref="EK151:EL151"/>
    <mergeCell ref="AA171:AC171"/>
    <mergeCell ref="V160:Y160"/>
    <mergeCell ref="M160:P160"/>
    <mergeCell ref="Q160:U160"/>
    <mergeCell ref="AA170:AC170"/>
    <mergeCell ref="AA165:AC165"/>
    <mergeCell ref="AA163:AC163"/>
    <mergeCell ref="M161:P161"/>
    <mergeCell ref="Q161:U161"/>
    <mergeCell ref="AA164:AC164"/>
    <mergeCell ref="E170:H170"/>
    <mergeCell ref="I170:L170"/>
    <mergeCell ref="M170:P170"/>
    <mergeCell ref="V170:Y170"/>
    <mergeCell ref="E171:H171"/>
    <mergeCell ref="I171:L171"/>
    <mergeCell ref="M171:P171"/>
    <mergeCell ref="V171:Y171"/>
    <mergeCell ref="Q171:U171"/>
    <mergeCell ref="DT280:DU280"/>
    <mergeCell ref="DQ247:DR247"/>
    <mergeCell ref="DT247:DU247"/>
    <mergeCell ref="DQ204:DR204"/>
    <mergeCell ref="DT204:DU204"/>
    <mergeCell ref="DQ205:DR205"/>
    <mergeCell ref="DT205:DU205"/>
    <mergeCell ref="DT253:DU253"/>
    <mergeCell ref="DQ251:DR251"/>
    <mergeCell ref="DT217:DU217"/>
    <mergeCell ref="DQ278:DR278"/>
    <mergeCell ref="DT278:DU278"/>
    <mergeCell ref="DT206:DU206"/>
    <mergeCell ref="DQ207:DR207"/>
    <mergeCell ref="DT207:DU207"/>
    <mergeCell ref="DT252:DU252"/>
    <mergeCell ref="DQ253:DR253"/>
    <mergeCell ref="DT246:DU246"/>
    <mergeCell ref="DT213:DU213"/>
    <mergeCell ref="DT214:DU214"/>
    <mergeCell ref="DQ295:DR295"/>
    <mergeCell ref="DT295:DU295"/>
    <mergeCell ref="DT287:DU287"/>
    <mergeCell ref="DQ286:DR286"/>
    <mergeCell ref="DQ288:DR288"/>
    <mergeCell ref="DT288:DU288"/>
    <mergeCell ref="DQ289:DR289"/>
    <mergeCell ref="DT289:DU289"/>
    <mergeCell ref="DT292:DU292"/>
    <mergeCell ref="DX296:DY296"/>
    <mergeCell ref="DQ293:DR293"/>
    <mergeCell ref="DT293:DU293"/>
    <mergeCell ref="DX293:DY293"/>
    <mergeCell ref="DQ294:DR294"/>
    <mergeCell ref="DT294:DU294"/>
    <mergeCell ref="DX294:DY294"/>
    <mergeCell ref="DX295:DY295"/>
    <mergeCell ref="DQ296:DR296"/>
    <mergeCell ref="DT296:DU296"/>
    <mergeCell ref="EG312:EH312"/>
    <mergeCell ref="EK312:EL312"/>
    <mergeCell ref="EN312:EO312"/>
    <mergeCell ref="EP312:EQ312"/>
    <mergeCell ref="DQ312:DR312"/>
    <mergeCell ref="DT312:DU312"/>
    <mergeCell ref="DX312:DY312"/>
    <mergeCell ref="ED312:EE312"/>
    <mergeCell ref="EG314:EH314"/>
    <mergeCell ref="EK314:EL314"/>
    <mergeCell ref="EN314:EO314"/>
    <mergeCell ref="EP314:EQ314"/>
    <mergeCell ref="DQ314:DR314"/>
    <mergeCell ref="DT314:DU314"/>
    <mergeCell ref="DX314:DY314"/>
    <mergeCell ref="ED314:EE314"/>
    <mergeCell ref="EG315:EH315"/>
    <mergeCell ref="EK315:EL315"/>
    <mergeCell ref="EN315:EO315"/>
    <mergeCell ref="EP315:EQ315"/>
    <mergeCell ref="DQ315:DR315"/>
    <mergeCell ref="DT315:DU315"/>
    <mergeCell ref="DX315:DY315"/>
    <mergeCell ref="ED315:EE315"/>
    <mergeCell ref="EG316:EH316"/>
    <mergeCell ref="EK316:EL316"/>
    <mergeCell ref="EN316:EO316"/>
    <mergeCell ref="EP316:EQ316"/>
    <mergeCell ref="DQ316:DR316"/>
    <mergeCell ref="DT316:DU316"/>
    <mergeCell ref="DX316:DY316"/>
    <mergeCell ref="ED316:EE316"/>
    <mergeCell ref="EG317:EH317"/>
    <mergeCell ref="EK317:EL317"/>
    <mergeCell ref="EN317:EO317"/>
    <mergeCell ref="EP317:EQ317"/>
    <mergeCell ref="DQ317:DR317"/>
    <mergeCell ref="DT317:DU317"/>
    <mergeCell ref="DX317:DY317"/>
    <mergeCell ref="ED317:EE317"/>
    <mergeCell ref="EG318:EH318"/>
    <mergeCell ref="EK318:EL318"/>
    <mergeCell ref="EN318:EO318"/>
    <mergeCell ref="EP318:EQ318"/>
    <mergeCell ref="DQ318:DR318"/>
    <mergeCell ref="DT318:DU318"/>
    <mergeCell ref="DX318:DY318"/>
    <mergeCell ref="ED318:EE318"/>
    <mergeCell ref="EG319:EH319"/>
    <mergeCell ref="EK319:EL319"/>
    <mergeCell ref="EN319:EO319"/>
    <mergeCell ref="EP319:EQ319"/>
    <mergeCell ref="DQ319:DR319"/>
    <mergeCell ref="DT319:DU319"/>
    <mergeCell ref="DX319:DY319"/>
    <mergeCell ref="ED319:EE319"/>
    <mergeCell ref="EG320:EH320"/>
    <mergeCell ref="EK320:EL320"/>
    <mergeCell ref="EN320:EO320"/>
    <mergeCell ref="EP320:EQ320"/>
    <mergeCell ref="DQ320:DR320"/>
    <mergeCell ref="DT320:DU320"/>
    <mergeCell ref="DX320:DY320"/>
    <mergeCell ref="ED320:EE320"/>
    <mergeCell ref="EK321:EL321"/>
    <mergeCell ref="EN321:EO321"/>
    <mergeCell ref="EP321:EQ321"/>
    <mergeCell ref="DQ321:DR321"/>
    <mergeCell ref="DT321:DU321"/>
    <mergeCell ref="DX321:DY321"/>
    <mergeCell ref="ED321:EE321"/>
    <mergeCell ref="EG321:EH321"/>
    <mergeCell ref="EN322:EO322"/>
    <mergeCell ref="EP322:EQ322"/>
    <mergeCell ref="DQ322:DR322"/>
    <mergeCell ref="DT322:DU322"/>
    <mergeCell ref="DX322:DY322"/>
    <mergeCell ref="ED322:EE322"/>
    <mergeCell ref="EG322:EH322"/>
    <mergeCell ref="EK322:EL322"/>
    <mergeCell ref="EN323:EO323"/>
    <mergeCell ref="EP323:EQ323"/>
    <mergeCell ref="DQ323:DR323"/>
    <mergeCell ref="DT323:DU323"/>
    <mergeCell ref="DX323:DY323"/>
    <mergeCell ref="ED323:EE323"/>
    <mergeCell ref="EK323:EL323"/>
    <mergeCell ref="EG323:EH323"/>
    <mergeCell ref="EN334:EO334"/>
    <mergeCell ref="EP334:EQ334"/>
    <mergeCell ref="DQ334:DR334"/>
    <mergeCell ref="DT334:DU334"/>
    <mergeCell ref="DX334:DY334"/>
    <mergeCell ref="ED334:EE334"/>
    <mergeCell ref="EK334:EL334"/>
    <mergeCell ref="EG334:EH334"/>
    <mergeCell ref="EN335:EO335"/>
    <mergeCell ref="EP335:EQ335"/>
    <mergeCell ref="DQ335:DR335"/>
    <mergeCell ref="DT335:DU335"/>
    <mergeCell ref="DX335:DY335"/>
    <mergeCell ref="ED335:EE335"/>
    <mergeCell ref="EK335:EL335"/>
    <mergeCell ref="EN337:EO337"/>
    <mergeCell ref="EN336:EO336"/>
    <mergeCell ref="EP336:EQ336"/>
    <mergeCell ref="DQ336:DR336"/>
    <mergeCell ref="DT336:DU336"/>
    <mergeCell ref="DX336:DY336"/>
    <mergeCell ref="ED336:EE336"/>
    <mergeCell ref="EN339:EO339"/>
    <mergeCell ref="EP337:EQ337"/>
    <mergeCell ref="ED338:EE338"/>
    <mergeCell ref="EG338:EH338"/>
    <mergeCell ref="EK338:EL338"/>
    <mergeCell ref="EN338:EO338"/>
    <mergeCell ref="EP338:EQ338"/>
    <mergeCell ref="ED337:EE337"/>
    <mergeCell ref="EG337:EH337"/>
    <mergeCell ref="EK337:EL337"/>
    <mergeCell ref="EN341:EO341"/>
    <mergeCell ref="EP339:EQ339"/>
    <mergeCell ref="ED340:EE340"/>
    <mergeCell ref="EG340:EH340"/>
    <mergeCell ref="EK340:EL340"/>
    <mergeCell ref="EN340:EO340"/>
    <mergeCell ref="EP340:EQ340"/>
    <mergeCell ref="ED339:EE339"/>
    <mergeCell ref="EG339:EH339"/>
    <mergeCell ref="EK339:EL339"/>
    <mergeCell ref="ED343:EE343"/>
    <mergeCell ref="EG343:EH343"/>
    <mergeCell ref="EG336:EH336"/>
    <mergeCell ref="EG335:EH335"/>
    <mergeCell ref="ED342:EE342"/>
    <mergeCell ref="EG342:EH342"/>
    <mergeCell ref="ED341:EE341"/>
    <mergeCell ref="EG341:EH341"/>
    <mergeCell ref="M162:P162"/>
    <mergeCell ref="M141:Q141"/>
    <mergeCell ref="P153:R153"/>
    <mergeCell ref="P154:R154"/>
    <mergeCell ref="Q162:U162"/>
    <mergeCell ref="S154:U154"/>
    <mergeCell ref="Q159:U159"/>
    <mergeCell ref="E160:H160"/>
    <mergeCell ref="E164:H164"/>
    <mergeCell ref="I164:L164"/>
    <mergeCell ref="E162:H162"/>
    <mergeCell ref="E161:H161"/>
    <mergeCell ref="I161:L161"/>
    <mergeCell ref="I162:L162"/>
    <mergeCell ref="I160:L160"/>
    <mergeCell ref="E163:H163"/>
    <mergeCell ref="I163:L163"/>
    <mergeCell ref="V154:X154"/>
    <mergeCell ref="Y154:AC154"/>
    <mergeCell ref="Y153:AC153"/>
    <mergeCell ref="X151:Z151"/>
    <mergeCell ref="V153:X153"/>
    <mergeCell ref="AC149:AE149"/>
    <mergeCell ref="AC143:AE143"/>
    <mergeCell ref="AC142:AE142"/>
    <mergeCell ref="V143:W143"/>
    <mergeCell ref="R141:U141"/>
    <mergeCell ref="E158:H158"/>
    <mergeCell ref="E159:H159"/>
    <mergeCell ref="I159:L159"/>
    <mergeCell ref="M159:P159"/>
    <mergeCell ref="V159:Y159"/>
    <mergeCell ref="S153:U153"/>
    <mergeCell ref="X152:Z152"/>
    <mergeCell ref="Z67:AA67"/>
    <mergeCell ref="T68:U68"/>
    <mergeCell ref="I141:L141"/>
    <mergeCell ref="V148:W148"/>
    <mergeCell ref="V146:W146"/>
    <mergeCell ref="V142:W142"/>
    <mergeCell ref="V144:W144"/>
    <mergeCell ref="W68:X68"/>
    <mergeCell ref="Z68:AA68"/>
    <mergeCell ref="G61:I61"/>
    <mergeCell ref="K61:M61"/>
    <mergeCell ref="N61:O61"/>
    <mergeCell ref="N62:O62"/>
    <mergeCell ref="R64:S64"/>
    <mergeCell ref="V145:W145"/>
    <mergeCell ref="R62:S62"/>
    <mergeCell ref="R61:S61"/>
    <mergeCell ref="E141:H141"/>
    <mergeCell ref="G62:I62"/>
    <mergeCell ref="K62:M62"/>
    <mergeCell ref="U57:V57"/>
    <mergeCell ref="U61:W61"/>
    <mergeCell ref="I57:J57"/>
    <mergeCell ref="L57:M57"/>
    <mergeCell ref="O57:P57"/>
    <mergeCell ref="N60:O60"/>
    <mergeCell ref="R60:S60"/>
    <mergeCell ref="X38:AA38"/>
    <mergeCell ref="T31:AB31"/>
    <mergeCell ref="E32:I32"/>
    <mergeCell ref="J32:M32"/>
    <mergeCell ref="N32:S32"/>
    <mergeCell ref="T32:AB32"/>
    <mergeCell ref="J31:M31"/>
    <mergeCell ref="N31:S31"/>
    <mergeCell ref="E31:I31"/>
    <mergeCell ref="F36:I36"/>
    <mergeCell ref="E20:AB22"/>
    <mergeCell ref="X19:AB19"/>
    <mergeCell ref="J30:M30"/>
    <mergeCell ref="N30:S30"/>
    <mergeCell ref="T30:AB30"/>
    <mergeCell ref="X26:AB26"/>
    <mergeCell ref="K25:V26"/>
    <mergeCell ref="E29:AB29"/>
    <mergeCell ref="E30:I30"/>
    <mergeCell ref="X25:Y25"/>
    <mergeCell ref="E17:V17"/>
    <mergeCell ref="X17:AB17"/>
    <mergeCell ref="E28:AB28"/>
    <mergeCell ref="E27:J27"/>
    <mergeCell ref="E18:H18"/>
    <mergeCell ref="W25:W26"/>
    <mergeCell ref="E25:J26"/>
    <mergeCell ref="Z25:AB25"/>
    <mergeCell ref="X18:AB18"/>
    <mergeCell ref="E19:V19"/>
    <mergeCell ref="E14:L14"/>
    <mergeCell ref="X14:AB14"/>
    <mergeCell ref="M14:O14"/>
    <mergeCell ref="X16:AB16"/>
    <mergeCell ref="E16:V16"/>
    <mergeCell ref="T14:W14"/>
    <mergeCell ref="P14:R14"/>
    <mergeCell ref="N9:AB9"/>
    <mergeCell ref="E10:V10"/>
    <mergeCell ref="X10:AB10"/>
    <mergeCell ref="X11:AB11"/>
    <mergeCell ref="E13:L13"/>
    <mergeCell ref="T13:W13"/>
    <mergeCell ref="X13:AB13"/>
    <mergeCell ref="P13:R13"/>
    <mergeCell ref="M13:O13"/>
    <mergeCell ref="X12:AB12"/>
    <mergeCell ref="EK108:EL108"/>
    <mergeCell ref="C2:AD2"/>
    <mergeCell ref="E5:AB5"/>
    <mergeCell ref="E6:M6"/>
    <mergeCell ref="N6:AB6"/>
    <mergeCell ref="E7:L7"/>
    <mergeCell ref="N7:AB7"/>
    <mergeCell ref="E9:L9"/>
    <mergeCell ref="DX108:DY108"/>
    <mergeCell ref="EN116:EO116"/>
    <mergeCell ref="EN117:EO117"/>
    <mergeCell ref="EG112:EH112"/>
    <mergeCell ref="ED111:EE111"/>
    <mergeCell ref="EG111:EH111"/>
    <mergeCell ref="EG113:EH113"/>
    <mergeCell ref="EK114:EL114"/>
    <mergeCell ref="EK117:EL117"/>
    <mergeCell ref="EK111:EL111"/>
    <mergeCell ref="EK112:EL112"/>
    <mergeCell ref="EK115:EL115"/>
    <mergeCell ref="EK116:EL116"/>
    <mergeCell ref="ED108:EE108"/>
    <mergeCell ref="EG108:EH108"/>
    <mergeCell ref="DX110:DY110"/>
    <mergeCell ref="ED110:EE110"/>
    <mergeCell ref="EG110:EH110"/>
    <mergeCell ref="EP108:EQ108"/>
    <mergeCell ref="EN108:EO108"/>
    <mergeCell ref="EN110:EO110"/>
    <mergeCell ref="EP110:EQ110"/>
    <mergeCell ref="DQ108:DR108"/>
    <mergeCell ref="DT108:DU108"/>
    <mergeCell ref="DQ145:DR145"/>
    <mergeCell ref="DT144:DU144"/>
    <mergeCell ref="DQ111:DR111"/>
    <mergeCell ref="DT111:DU111"/>
    <mergeCell ref="DQ118:DR118"/>
    <mergeCell ref="DQ128:DR128"/>
    <mergeCell ref="DT128:DU128"/>
    <mergeCell ref="DQ124:DR124"/>
    <mergeCell ref="ED123:EE123"/>
    <mergeCell ref="ED128:EE128"/>
    <mergeCell ref="ED122:EE122"/>
    <mergeCell ref="EG114:EH114"/>
    <mergeCell ref="EG118:EH118"/>
    <mergeCell ref="EG117:EH117"/>
    <mergeCell ref="ED115:EE115"/>
    <mergeCell ref="EG116:EH116"/>
    <mergeCell ref="ED117:EE117"/>
    <mergeCell ref="ED118:EE118"/>
    <mergeCell ref="DQ119:DR119"/>
    <mergeCell ref="DT146:DU146"/>
    <mergeCell ref="DX146:DY146"/>
    <mergeCell ref="DQ120:DR120"/>
    <mergeCell ref="DT120:DU120"/>
    <mergeCell ref="DT125:DU125"/>
    <mergeCell ref="DQ123:DR123"/>
    <mergeCell ref="DX142:DY142"/>
    <mergeCell ref="DT124:DU124"/>
    <mergeCell ref="DX124:DY124"/>
    <mergeCell ref="DQ117:DR117"/>
    <mergeCell ref="DQ112:DR112"/>
    <mergeCell ref="EK128:EL128"/>
    <mergeCell ref="EG115:EH115"/>
    <mergeCell ref="ED114:EE114"/>
    <mergeCell ref="DT116:DU116"/>
    <mergeCell ref="DX116:DY116"/>
    <mergeCell ref="DQ116:DR116"/>
    <mergeCell ref="DQ125:DR125"/>
    <mergeCell ref="ED113:EE113"/>
    <mergeCell ref="DT112:DU112"/>
    <mergeCell ref="DX114:DY114"/>
    <mergeCell ref="DT113:DU113"/>
    <mergeCell ref="DX113:DY113"/>
    <mergeCell ref="DX112:DY112"/>
    <mergeCell ref="DT114:DU114"/>
    <mergeCell ref="DX111:DY111"/>
    <mergeCell ref="DX117:DY117"/>
    <mergeCell ref="DX119:DY119"/>
    <mergeCell ref="ED116:EE116"/>
    <mergeCell ref="ED119:EE119"/>
    <mergeCell ref="DX118:DY118"/>
    <mergeCell ref="DQ115:DR115"/>
    <mergeCell ref="AO113:AR113"/>
    <mergeCell ref="AS113:AV113"/>
    <mergeCell ref="AW113:AX113"/>
    <mergeCell ref="AO114:AR114"/>
    <mergeCell ref="AS114:AV114"/>
    <mergeCell ref="AW114:AX114"/>
    <mergeCell ref="DQ114:DR114"/>
    <mergeCell ref="DQ113:DR113"/>
    <mergeCell ref="AV142:AW142"/>
    <mergeCell ref="BI140:BJ140"/>
    <mergeCell ref="BI141:BJ141"/>
    <mergeCell ref="AU138:BG138"/>
    <mergeCell ref="AU139:BG139"/>
    <mergeCell ref="AZ142:BA142"/>
    <mergeCell ref="AX142:AY142"/>
    <mergeCell ref="AV141:AW141"/>
    <mergeCell ref="BE141:BG141"/>
    <mergeCell ref="AZ141:BA141"/>
    <mergeCell ref="BV140:BW140"/>
    <mergeCell ref="BX143:BY143"/>
    <mergeCell ref="BV142:BW142"/>
    <mergeCell ref="BX142:BY142"/>
    <mergeCell ref="BV141:BW141"/>
    <mergeCell ref="BV143:BW143"/>
    <mergeCell ref="BX141:BY141"/>
    <mergeCell ref="BZ140:CB140"/>
    <mergeCell ref="BZ141:CB141"/>
    <mergeCell ref="CK143:CM143"/>
    <mergeCell ref="DX125:DY125"/>
    <mergeCell ref="DT126:DU126"/>
    <mergeCell ref="BU139:CE139"/>
    <mergeCell ref="BX140:BY140"/>
    <mergeCell ref="CR140:CS140"/>
    <mergeCell ref="CC140:CE140"/>
    <mergeCell ref="CK140:CM140"/>
    <mergeCell ref="CK144:CM144"/>
    <mergeCell ref="CI144:CJ144"/>
    <mergeCell ref="DQ127:DR127"/>
    <mergeCell ref="DQ126:DR126"/>
    <mergeCell ref="DQ142:DR142"/>
    <mergeCell ref="CI143:CJ143"/>
    <mergeCell ref="CN144:CP144"/>
    <mergeCell ref="CR143:CS143"/>
    <mergeCell ref="CF138:CP138"/>
    <mergeCell ref="CF139:CP139"/>
    <mergeCell ref="BI142:BJ142"/>
    <mergeCell ref="BM143:BN143"/>
    <mergeCell ref="BE142:BG142"/>
    <mergeCell ref="BI143:BJ143"/>
    <mergeCell ref="BK143:BL143"/>
    <mergeCell ref="BB142:BD142"/>
    <mergeCell ref="EG120:EH120"/>
    <mergeCell ref="EG122:EH122"/>
    <mergeCell ref="EK124:EL124"/>
    <mergeCell ref="EK126:EL126"/>
    <mergeCell ref="EK120:EL120"/>
    <mergeCell ref="EK122:EL122"/>
    <mergeCell ref="EG123:EH123"/>
    <mergeCell ref="EG124:EH124"/>
    <mergeCell ref="DX122:DY122"/>
    <mergeCell ref="DT123:DU123"/>
    <mergeCell ref="EK118:EL118"/>
    <mergeCell ref="ED120:EE120"/>
    <mergeCell ref="EK123:EL123"/>
    <mergeCell ref="EG121:EH121"/>
    <mergeCell ref="EK121:EL121"/>
    <mergeCell ref="ED121:EE121"/>
    <mergeCell ref="EK119:EL119"/>
    <mergeCell ref="EG119:EH119"/>
    <mergeCell ref="DT115:DU115"/>
    <mergeCell ref="DX115:DY115"/>
    <mergeCell ref="DX120:DY120"/>
    <mergeCell ref="DT119:DU119"/>
    <mergeCell ref="DT117:DU117"/>
    <mergeCell ref="DT118:DU118"/>
    <mergeCell ref="ED126:EE126"/>
    <mergeCell ref="ED127:EE127"/>
    <mergeCell ref="EG126:EH126"/>
    <mergeCell ref="EG128:EH128"/>
    <mergeCell ref="EG127:EH127"/>
    <mergeCell ref="EG125:EH125"/>
    <mergeCell ref="DX123:DY123"/>
    <mergeCell ref="DX126:DY126"/>
    <mergeCell ref="DX153:DY153"/>
    <mergeCell ref="DX150:DY150"/>
    <mergeCell ref="DX151:DY151"/>
    <mergeCell ref="DX152:DY152"/>
    <mergeCell ref="DX147:DY147"/>
    <mergeCell ref="EG161:EH161"/>
    <mergeCell ref="EK160:EL160"/>
    <mergeCell ref="EK162:EL162"/>
    <mergeCell ref="EG166:EH166"/>
    <mergeCell ref="ED165:EE165"/>
    <mergeCell ref="EG165:EH165"/>
    <mergeCell ref="ED164:EE164"/>
    <mergeCell ref="EG164:EH164"/>
    <mergeCell ref="ED166:EE166"/>
    <mergeCell ref="EN160:EO160"/>
    <mergeCell ref="EK166:EL166"/>
    <mergeCell ref="EK164:EL164"/>
    <mergeCell ref="EN165:EO165"/>
    <mergeCell ref="EN166:EO166"/>
    <mergeCell ref="EG163:EH163"/>
    <mergeCell ref="EK163:EL163"/>
    <mergeCell ref="EK165:EL165"/>
    <mergeCell ref="EG160:EH160"/>
    <mergeCell ref="EG162:EH162"/>
    <mergeCell ref="EK184:EL184"/>
    <mergeCell ref="EK174:EL174"/>
    <mergeCell ref="EK176:EL176"/>
    <mergeCell ref="EK178:EL178"/>
    <mergeCell ref="EK182:EL182"/>
    <mergeCell ref="EK181:EL181"/>
    <mergeCell ref="EK179:EL179"/>
    <mergeCell ref="EK180:EL180"/>
    <mergeCell ref="EG198:EH198"/>
    <mergeCell ref="EG192:EH192"/>
    <mergeCell ref="EG193:EH193"/>
    <mergeCell ref="EK183:EL183"/>
    <mergeCell ref="EG190:EH190"/>
    <mergeCell ref="EG183:EH183"/>
    <mergeCell ref="EG184:EH184"/>
    <mergeCell ref="EG187:EH187"/>
    <mergeCell ref="EG185:EH185"/>
    <mergeCell ref="EG186:EH186"/>
    <mergeCell ref="EG180:EH180"/>
    <mergeCell ref="EG194:EH194"/>
    <mergeCell ref="EG181:EH181"/>
    <mergeCell ref="EK202:EL202"/>
    <mergeCell ref="EK191:EL191"/>
    <mergeCell ref="EG195:EH195"/>
    <mergeCell ref="EK199:EL199"/>
    <mergeCell ref="EK197:EL197"/>
    <mergeCell ref="EK196:EL196"/>
    <mergeCell ref="EG191:EH191"/>
    <mergeCell ref="DX223:DY223"/>
    <mergeCell ref="ED223:EE223"/>
    <mergeCell ref="DX236:DY236"/>
    <mergeCell ref="ED236:EE236"/>
    <mergeCell ref="EG178:EH178"/>
    <mergeCell ref="EG188:EH188"/>
    <mergeCell ref="EG204:EH204"/>
    <mergeCell ref="EG199:EH199"/>
    <mergeCell ref="EG189:EH189"/>
    <mergeCell ref="EG179:EH179"/>
    <mergeCell ref="DX218:DY218"/>
    <mergeCell ref="DX221:DY221"/>
    <mergeCell ref="DX212:DY212"/>
    <mergeCell ref="DX216:DY216"/>
    <mergeCell ref="DX242:DY242"/>
    <mergeCell ref="ED197:EE197"/>
    <mergeCell ref="ED201:EE201"/>
    <mergeCell ref="ED204:EE204"/>
    <mergeCell ref="DX217:DY217"/>
    <mergeCell ref="ED217:EE217"/>
    <mergeCell ref="AS155:BG155"/>
    <mergeCell ref="AR149:AT149"/>
    <mergeCell ref="DQ153:DR153"/>
    <mergeCell ref="AS154:BG154"/>
    <mergeCell ref="BB149:BD149"/>
    <mergeCell ref="BE149:BG149"/>
    <mergeCell ref="BK149:BL149"/>
    <mergeCell ref="CN149:CP149"/>
    <mergeCell ref="CI149:CJ149"/>
    <mergeCell ref="BX149:BY149"/>
    <mergeCell ref="CI148:CJ148"/>
    <mergeCell ref="CG148:CH148"/>
    <mergeCell ref="DT155:DU155"/>
    <mergeCell ref="DT154:DU154"/>
    <mergeCell ref="DT150:DU150"/>
    <mergeCell ref="DT153:DU153"/>
    <mergeCell ref="BK146:BL146"/>
    <mergeCell ref="BM145:BN145"/>
    <mergeCell ref="DT149:DU149"/>
    <mergeCell ref="DT152:DU152"/>
    <mergeCell ref="DT151:DU151"/>
    <mergeCell ref="CG146:CH146"/>
    <mergeCell ref="DQ149:DR149"/>
    <mergeCell ref="DQ152:DR152"/>
    <mergeCell ref="DQ146:DR146"/>
    <mergeCell ref="DT147:DU147"/>
    <mergeCell ref="BM147:BN147"/>
    <mergeCell ref="BV147:BW147"/>
    <mergeCell ref="BK144:BL144"/>
    <mergeCell ref="BM144:BN144"/>
    <mergeCell ref="BO146:BQ146"/>
    <mergeCell ref="BR146:BT146"/>
    <mergeCell ref="BO145:BQ145"/>
    <mergeCell ref="BR144:BT144"/>
    <mergeCell ref="BR145:BT145"/>
    <mergeCell ref="BM146:BN146"/>
    <mergeCell ref="BB145:BD145"/>
    <mergeCell ref="BE145:BG145"/>
    <mergeCell ref="AZ146:BA146"/>
    <mergeCell ref="BI147:BJ147"/>
    <mergeCell ref="BX146:BY146"/>
    <mergeCell ref="CC146:CE146"/>
    <mergeCell ref="BZ146:CB146"/>
    <mergeCell ref="BO147:BQ147"/>
    <mergeCell ref="BI146:BJ146"/>
    <mergeCell ref="BK147:BL147"/>
    <mergeCell ref="AN154:AR154"/>
    <mergeCell ref="BE146:BG146"/>
    <mergeCell ref="AV146:AW146"/>
    <mergeCell ref="BB146:BD146"/>
    <mergeCell ref="AN153:AR153"/>
    <mergeCell ref="AX149:AY149"/>
    <mergeCell ref="AZ149:BA149"/>
    <mergeCell ref="AV147:AW147"/>
    <mergeCell ref="AR146:AT146"/>
    <mergeCell ref="AR147:AT147"/>
    <mergeCell ref="AX140:AY140"/>
    <mergeCell ref="AX141:AY141"/>
    <mergeCell ref="BV146:BW146"/>
    <mergeCell ref="BK141:BL141"/>
    <mergeCell ref="AZ143:BA143"/>
    <mergeCell ref="BK140:BL140"/>
    <mergeCell ref="BE140:BG140"/>
    <mergeCell ref="AX146:AY146"/>
    <mergeCell ref="BK145:BL145"/>
    <mergeCell ref="BI145:BJ145"/>
    <mergeCell ref="AN146:AO146"/>
    <mergeCell ref="AP146:AQ146"/>
    <mergeCell ref="AN144:AO144"/>
    <mergeCell ref="AP144:AQ144"/>
    <mergeCell ref="AP145:AQ145"/>
    <mergeCell ref="AJ140:AK140"/>
    <mergeCell ref="AN140:AO140"/>
    <mergeCell ref="AN141:AO141"/>
    <mergeCell ref="AP140:AQ140"/>
    <mergeCell ref="AL141:AM141"/>
    <mergeCell ref="U55:V55"/>
    <mergeCell ref="X55:AA55"/>
    <mergeCell ref="U64:W64"/>
    <mergeCell ref="AF141:AH141"/>
    <mergeCell ref="AC141:AE141"/>
    <mergeCell ref="U60:W60"/>
    <mergeCell ref="U62:W62"/>
    <mergeCell ref="AF140:AH140"/>
    <mergeCell ref="T67:U67"/>
    <mergeCell ref="U63:W63"/>
    <mergeCell ref="AO112:AR112"/>
    <mergeCell ref="AS112:AV112"/>
    <mergeCell ref="AS109:AU109"/>
    <mergeCell ref="AP143:AQ143"/>
    <mergeCell ref="AR143:AT143"/>
    <mergeCell ref="AI139:AT139"/>
    <mergeCell ref="AR140:AT140"/>
    <mergeCell ref="AR141:AT141"/>
    <mergeCell ref="AS116:AT116"/>
    <mergeCell ref="AV140:AW140"/>
    <mergeCell ref="E47:AB47"/>
    <mergeCell ref="X41:AA41"/>
    <mergeCell ref="F42:I42"/>
    <mergeCell ref="F46:R46"/>
    <mergeCell ref="S46:V46"/>
    <mergeCell ref="X42:AA42"/>
    <mergeCell ref="F41:I41"/>
    <mergeCell ref="K41:M41"/>
    <mergeCell ref="O41:Q41"/>
    <mergeCell ref="S41:V41"/>
    <mergeCell ref="S42:V42"/>
    <mergeCell ref="F43:I43"/>
    <mergeCell ref="S43:V43"/>
    <mergeCell ref="F37:I37"/>
    <mergeCell ref="S37:V37"/>
    <mergeCell ref="S38:V38"/>
    <mergeCell ref="AD153:AF153"/>
    <mergeCell ref="AD154:AF154"/>
    <mergeCell ref="AF145:AH145"/>
    <mergeCell ref="AC144:AE144"/>
    <mergeCell ref="AC148:AE148"/>
    <mergeCell ref="AC145:AE145"/>
    <mergeCell ref="AC146:AE146"/>
    <mergeCell ref="AF146:AH146"/>
    <mergeCell ref="AA152:AC152"/>
    <mergeCell ref="AA151:AC151"/>
    <mergeCell ref="EG176:EH176"/>
    <mergeCell ref="ED169:EE169"/>
    <mergeCell ref="CI146:CJ146"/>
    <mergeCell ref="DQ154:DR154"/>
    <mergeCell ref="EG174:EH174"/>
    <mergeCell ref="EG167:EH167"/>
    <mergeCell ref="CV149:CX149"/>
    <mergeCell ref="CT147:CU147"/>
    <mergeCell ref="EG169:EH169"/>
    <mergeCell ref="ED167:EE167"/>
    <mergeCell ref="BE143:BG143"/>
    <mergeCell ref="BB144:BD144"/>
    <mergeCell ref="BI144:BJ144"/>
    <mergeCell ref="BO140:BQ140"/>
    <mergeCell ref="BO141:BQ141"/>
    <mergeCell ref="BR142:BT142"/>
    <mergeCell ref="BO143:BQ143"/>
    <mergeCell ref="BR143:BT143"/>
    <mergeCell ref="BM142:BN142"/>
    <mergeCell ref="BB143:BD143"/>
    <mergeCell ref="CV148:CX148"/>
    <mergeCell ref="DQ155:DR155"/>
    <mergeCell ref="DQ156:DR156"/>
    <mergeCell ref="DQ159:DR159"/>
    <mergeCell ref="DQ166:DR166"/>
    <mergeCell ref="BM140:BN140"/>
    <mergeCell ref="BR140:BT140"/>
    <mergeCell ref="DQ147:DR147"/>
    <mergeCell ref="CK149:CM149"/>
    <mergeCell ref="BM149:BN149"/>
    <mergeCell ref="DQ148:DR148"/>
    <mergeCell ref="DQ161:DR161"/>
    <mergeCell ref="DQ162:DR162"/>
    <mergeCell ref="DT148:DU148"/>
    <mergeCell ref="DQ192:DR192"/>
    <mergeCell ref="DQ181:DR181"/>
    <mergeCell ref="DQ157:DR157"/>
    <mergeCell ref="DQ168:DR168"/>
    <mergeCell ref="DQ170:DR170"/>
    <mergeCell ref="DT170:DU170"/>
    <mergeCell ref="DT185:DU185"/>
    <mergeCell ref="DT191:DU191"/>
    <mergeCell ref="DT188:DU188"/>
    <mergeCell ref="DT190:DU190"/>
    <mergeCell ref="DT192:DU192"/>
    <mergeCell ref="DT187:DU187"/>
    <mergeCell ref="ED192:EE192"/>
    <mergeCell ref="ED190:EE190"/>
    <mergeCell ref="DX192:DY192"/>
    <mergeCell ref="DX191:DY191"/>
    <mergeCell ref="DX189:DY189"/>
    <mergeCell ref="ED191:EE191"/>
    <mergeCell ref="DX247:DY247"/>
    <mergeCell ref="DX246:DY246"/>
    <mergeCell ref="ED196:EE196"/>
    <mergeCell ref="DX206:DY206"/>
    <mergeCell ref="ED206:EE206"/>
    <mergeCell ref="DX204:DY204"/>
    <mergeCell ref="DX203:DY203"/>
    <mergeCell ref="ED246:EE246"/>
    <mergeCell ref="DX207:DY207"/>
    <mergeCell ref="DX244:DY244"/>
    <mergeCell ref="DQ203:DR203"/>
    <mergeCell ref="DT195:DU195"/>
    <mergeCell ref="DX195:DY195"/>
    <mergeCell ref="DQ201:DR201"/>
    <mergeCell ref="DQ200:DR200"/>
    <mergeCell ref="DQ198:DR198"/>
    <mergeCell ref="DQ197:DR197"/>
    <mergeCell ref="DT196:DU196"/>
    <mergeCell ref="DX199:DY199"/>
    <mergeCell ref="DQ199:DR199"/>
    <mergeCell ref="DT193:DU193"/>
    <mergeCell ref="DT203:DU203"/>
    <mergeCell ref="DT202:DU202"/>
    <mergeCell ref="DX205:DY205"/>
    <mergeCell ref="DX202:DY202"/>
    <mergeCell ref="DT201:DU201"/>
    <mergeCell ref="DX200:DY200"/>
    <mergeCell ref="DX198:DY198"/>
    <mergeCell ref="DX196:DY196"/>
    <mergeCell ref="DX201:DY201"/>
    <mergeCell ref="ED184:EE184"/>
    <mergeCell ref="ED185:EE185"/>
    <mergeCell ref="DX186:DY186"/>
    <mergeCell ref="ED188:EE188"/>
    <mergeCell ref="DX188:DY188"/>
    <mergeCell ref="ED205:EE205"/>
    <mergeCell ref="ED198:EE198"/>
    <mergeCell ref="ED195:EE195"/>
    <mergeCell ref="ED194:EE194"/>
    <mergeCell ref="ED193:EE193"/>
    <mergeCell ref="EK185:EL185"/>
    <mergeCell ref="DX185:DY185"/>
    <mergeCell ref="EN190:EO190"/>
    <mergeCell ref="EK186:EL186"/>
    <mergeCell ref="EK189:EL189"/>
    <mergeCell ref="DX187:DY187"/>
    <mergeCell ref="ED187:EE187"/>
    <mergeCell ref="DX190:DY190"/>
    <mergeCell ref="ED186:EE186"/>
    <mergeCell ref="ED189:EE189"/>
    <mergeCell ref="EN194:EO194"/>
    <mergeCell ref="EN188:EO188"/>
    <mergeCell ref="EN186:EO186"/>
    <mergeCell ref="EK187:EL187"/>
    <mergeCell ref="EN187:EO187"/>
    <mergeCell ref="EK193:EL193"/>
    <mergeCell ref="EN191:EO191"/>
    <mergeCell ref="EN193:EO193"/>
    <mergeCell ref="EK188:EL188"/>
    <mergeCell ref="EK190:EL190"/>
    <mergeCell ref="EK201:EL201"/>
    <mergeCell ref="EK200:EL200"/>
    <mergeCell ref="EG201:EH201"/>
    <mergeCell ref="ED247:EE247"/>
    <mergeCell ref="EG246:EH246"/>
    <mergeCell ref="EG206:EH206"/>
    <mergeCell ref="ED244:EE244"/>
    <mergeCell ref="EG244:EH244"/>
    <mergeCell ref="ED202:EE202"/>
    <mergeCell ref="ED203:EE203"/>
    <mergeCell ref="EN250:EO250"/>
    <mergeCell ref="EK250:EL250"/>
    <mergeCell ref="EG200:EH200"/>
    <mergeCell ref="EG202:EH202"/>
    <mergeCell ref="EG205:EH205"/>
    <mergeCell ref="EN200:EO200"/>
    <mergeCell ref="EN207:EO207"/>
    <mergeCell ref="EN246:EO246"/>
    <mergeCell ref="EN247:EO247"/>
    <mergeCell ref="EG203:EH203"/>
    <mergeCell ref="EK255:EL255"/>
    <mergeCell ref="EN251:EO251"/>
    <mergeCell ref="EN252:EO252"/>
    <mergeCell ref="EK254:EL254"/>
    <mergeCell ref="EK251:EL251"/>
    <mergeCell ref="EN253:EO253"/>
    <mergeCell ref="EN254:EO254"/>
    <mergeCell ref="EN249:EO249"/>
    <mergeCell ref="EG208:EH208"/>
    <mergeCell ref="EK208:EL208"/>
    <mergeCell ref="EG254:EH254"/>
    <mergeCell ref="EK252:EL252"/>
    <mergeCell ref="EK253:EL253"/>
    <mergeCell ref="EG247:EH247"/>
    <mergeCell ref="EG251:EH251"/>
    <mergeCell ref="EK249:EL249"/>
    <mergeCell ref="EG250:EH250"/>
    <mergeCell ref="EN208:EO208"/>
    <mergeCell ref="EK248:EL248"/>
    <mergeCell ref="EN248:EO248"/>
    <mergeCell ref="EK246:EL246"/>
    <mergeCell ref="EK244:EL244"/>
    <mergeCell ref="EN244:EO244"/>
    <mergeCell ref="EK247:EL247"/>
    <mergeCell ref="EN210:EO210"/>
    <mergeCell ref="EN220:EO220"/>
    <mergeCell ref="EK223:EL223"/>
    <mergeCell ref="EG182:EH182"/>
    <mergeCell ref="DX183:DY183"/>
    <mergeCell ref="ED183:EE183"/>
    <mergeCell ref="DX182:DY182"/>
    <mergeCell ref="DX181:DY181"/>
    <mergeCell ref="ED182:EE182"/>
    <mergeCell ref="AW167:AY167"/>
    <mergeCell ref="AW168:AY168"/>
    <mergeCell ref="AN159:AR159"/>
    <mergeCell ref="AT166:AV166"/>
    <mergeCell ref="DT183:DU183"/>
    <mergeCell ref="DT181:DU181"/>
    <mergeCell ref="DT182:DU182"/>
    <mergeCell ref="DQ164:DR164"/>
    <mergeCell ref="AT171:AV171"/>
    <mergeCell ref="AW171:AY171"/>
    <mergeCell ref="DQ165:DR165"/>
    <mergeCell ref="AI160:AM160"/>
    <mergeCell ref="AN160:AR160"/>
    <mergeCell ref="AI163:AM163"/>
    <mergeCell ref="AN163:AR163"/>
    <mergeCell ref="AI161:AM161"/>
    <mergeCell ref="AI162:AM162"/>
    <mergeCell ref="AN161:AR161"/>
    <mergeCell ref="AN162:AR162"/>
    <mergeCell ref="Q163:U163"/>
    <mergeCell ref="DT164:DU164"/>
    <mergeCell ref="DT166:DU166"/>
    <mergeCell ref="AN166:AR166"/>
    <mergeCell ref="AW165:AY165"/>
    <mergeCell ref="AT163:AV163"/>
    <mergeCell ref="AW163:AY163"/>
    <mergeCell ref="DQ163:DR163"/>
    <mergeCell ref="AW166:AY166"/>
    <mergeCell ref="AT165:AV165"/>
    <mergeCell ref="AD164:AF164"/>
    <mergeCell ref="AI165:AM165"/>
    <mergeCell ref="AN165:AR165"/>
    <mergeCell ref="AG165:AH165"/>
    <mergeCell ref="AD165:AF165"/>
    <mergeCell ref="AI164:AM164"/>
    <mergeCell ref="AN164:AR164"/>
    <mergeCell ref="EK259:EL259"/>
    <mergeCell ref="ED256:EE256"/>
    <mergeCell ref="EG256:EH256"/>
    <mergeCell ref="EK256:EL256"/>
    <mergeCell ref="EK258:EL258"/>
    <mergeCell ref="ED257:EE257"/>
    <mergeCell ref="EG257:EH257"/>
    <mergeCell ref="EK257:EL257"/>
    <mergeCell ref="ED259:EE259"/>
    <mergeCell ref="ED258:EE258"/>
    <mergeCell ref="M163:P163"/>
    <mergeCell ref="M164:P164"/>
    <mergeCell ref="EG255:EH255"/>
    <mergeCell ref="DX180:DY180"/>
    <mergeCell ref="DQ178:DR178"/>
    <mergeCell ref="DQ215:DR215"/>
    <mergeCell ref="DT215:DU215"/>
    <mergeCell ref="DX215:DY215"/>
    <mergeCell ref="ED215:EE215"/>
    <mergeCell ref="DT178:DU178"/>
    <mergeCell ref="EK260:EL260"/>
    <mergeCell ref="DQ179:DR179"/>
    <mergeCell ref="DT179:DU179"/>
    <mergeCell ref="DX179:DY179"/>
    <mergeCell ref="EG260:EH260"/>
    <mergeCell ref="EG258:EH258"/>
    <mergeCell ref="ED254:EE254"/>
    <mergeCell ref="ED248:EE248"/>
    <mergeCell ref="EG259:EH259"/>
    <mergeCell ref="DX184:DY184"/>
    <mergeCell ref="M165:P165"/>
    <mergeCell ref="DX176:DY176"/>
    <mergeCell ref="E168:H168"/>
    <mergeCell ref="E165:H165"/>
    <mergeCell ref="I165:L165"/>
    <mergeCell ref="E167:H167"/>
    <mergeCell ref="I167:L167"/>
    <mergeCell ref="Q165:U165"/>
    <mergeCell ref="AT167:AV167"/>
    <mergeCell ref="AN168:AR168"/>
    <mergeCell ref="ED250:EE250"/>
    <mergeCell ref="E166:H166"/>
    <mergeCell ref="AI166:AM166"/>
    <mergeCell ref="AG167:AH167"/>
    <mergeCell ref="AG166:AH166"/>
    <mergeCell ref="AN167:AR167"/>
    <mergeCell ref="AI167:AM167"/>
    <mergeCell ref="DT180:DU180"/>
    <mergeCell ref="DQ182:DR182"/>
    <mergeCell ref="DT176:DU176"/>
    <mergeCell ref="EG213:EH213"/>
    <mergeCell ref="EG212:EH212"/>
    <mergeCell ref="EG216:EH216"/>
    <mergeCell ref="ED218:EE218"/>
    <mergeCell ref="EG218:EH218"/>
    <mergeCell ref="EG219:EH219"/>
    <mergeCell ref="ED212:EE212"/>
    <mergeCell ref="Q164:U164"/>
    <mergeCell ref="AG168:AH168"/>
    <mergeCell ref="AI168:AM168"/>
    <mergeCell ref="AA168:AC168"/>
    <mergeCell ref="AD168:AF168"/>
    <mergeCell ref="AA167:AC167"/>
    <mergeCell ref="V167:Y167"/>
    <mergeCell ref="V165:Y165"/>
    <mergeCell ref="V166:Y166"/>
    <mergeCell ref="AG164:AH164"/>
    <mergeCell ref="EG263:EH263"/>
    <mergeCell ref="EK263:EL263"/>
    <mergeCell ref="ED207:EE207"/>
    <mergeCell ref="EG207:EH207"/>
    <mergeCell ref="EK207:EL207"/>
    <mergeCell ref="EK261:EL261"/>
    <mergeCell ref="ED262:EE262"/>
    <mergeCell ref="EG262:EH262"/>
    <mergeCell ref="EG248:EH248"/>
    <mergeCell ref="ED249:EE249"/>
    <mergeCell ref="DX178:DY178"/>
    <mergeCell ref="ED179:EE179"/>
    <mergeCell ref="DT168:DU168"/>
    <mergeCell ref="AN171:AR171"/>
    <mergeCell ref="ED176:EE176"/>
    <mergeCell ref="ED174:EE174"/>
    <mergeCell ref="AW169:AY169"/>
    <mergeCell ref="AT168:AV168"/>
    <mergeCell ref="DX168:DY168"/>
    <mergeCell ref="ED168:EE168"/>
    <mergeCell ref="I166:L166"/>
    <mergeCell ref="M166:P166"/>
    <mergeCell ref="Q166:U166"/>
    <mergeCell ref="AA166:AC166"/>
    <mergeCell ref="AD166:AF166"/>
    <mergeCell ref="AD167:AF167"/>
    <mergeCell ref="M167:P167"/>
    <mergeCell ref="Q167:U167"/>
    <mergeCell ref="EK262:EL262"/>
    <mergeCell ref="EG261:EH261"/>
    <mergeCell ref="EG196:EH196"/>
    <mergeCell ref="ED253:EE253"/>
    <mergeCell ref="ED251:EE251"/>
    <mergeCell ref="ED252:EE252"/>
    <mergeCell ref="EG252:EH252"/>
    <mergeCell ref="EG253:EH253"/>
    <mergeCell ref="EG249:EH249"/>
    <mergeCell ref="ED199:EE199"/>
    <mergeCell ref="I168:L168"/>
    <mergeCell ref="M168:P168"/>
    <mergeCell ref="Q168:U168"/>
    <mergeCell ref="V168:Y168"/>
    <mergeCell ref="AN169:AR169"/>
    <mergeCell ref="AT169:AV169"/>
    <mergeCell ref="I169:L169"/>
    <mergeCell ref="ED255:EE255"/>
    <mergeCell ref="M169:P169"/>
    <mergeCell ref="AD170:AF170"/>
    <mergeCell ref="AI170:AM170"/>
    <mergeCell ref="AG170:AH170"/>
    <mergeCell ref="Q170:U170"/>
    <mergeCell ref="DX169:DY169"/>
    <mergeCell ref="AN170:AR170"/>
    <mergeCell ref="ED181:EE181"/>
    <mergeCell ref="ED180:EE180"/>
    <mergeCell ref="ED208:EE208"/>
    <mergeCell ref="AI171:AM171"/>
    <mergeCell ref="ED264:EE264"/>
    <mergeCell ref="DQ176:DR176"/>
    <mergeCell ref="AN174:AR174"/>
    <mergeCell ref="ED263:EE263"/>
    <mergeCell ref="ED200:EE200"/>
    <mergeCell ref="ED178:EE178"/>
    <mergeCell ref="ED261:EE261"/>
    <mergeCell ref="ED260:EE260"/>
    <mergeCell ref="ED275:EE275"/>
    <mergeCell ref="EG275:EH275"/>
    <mergeCell ref="EK275:EL275"/>
    <mergeCell ref="ED276:EE276"/>
    <mergeCell ref="EG264:EH264"/>
    <mergeCell ref="EK264:EL264"/>
    <mergeCell ref="E169:H169"/>
    <mergeCell ref="DT248:DU248"/>
    <mergeCell ref="DX248:DY248"/>
    <mergeCell ref="DQ208:DR208"/>
    <mergeCell ref="DT208:DU208"/>
    <mergeCell ref="DX208:DY208"/>
    <mergeCell ref="DT169:DU169"/>
    <mergeCell ref="DT184:DU184"/>
    <mergeCell ref="AW170:AY170"/>
    <mergeCell ref="AT170:AV170"/>
    <mergeCell ref="Q169:U169"/>
    <mergeCell ref="V169:Y169"/>
    <mergeCell ref="AA169:AC169"/>
    <mergeCell ref="AD169:AF169"/>
    <mergeCell ref="AG169:AH169"/>
    <mergeCell ref="AI169:AM169"/>
    <mergeCell ref="ED346:EE346"/>
    <mergeCell ref="EG346:EH346"/>
    <mergeCell ref="EK346:EL346"/>
    <mergeCell ref="DQ280:DR280"/>
    <mergeCell ref="EK169:EL169"/>
    <mergeCell ref="DX278:DY278"/>
    <mergeCell ref="DQ248:DR248"/>
    <mergeCell ref="DQ169:DR169"/>
    <mergeCell ref="EG276:EH276"/>
    <mergeCell ref="EK276:EL276"/>
    <mergeCell ref="DX280:DY280"/>
    <mergeCell ref="ED280:EE280"/>
    <mergeCell ref="EG280:EH280"/>
    <mergeCell ref="EK280:EL280"/>
    <mergeCell ref="ED278:EE278"/>
    <mergeCell ref="EG278:EH278"/>
    <mergeCell ref="EK278:EL278"/>
    <mergeCell ref="EK281:EL281"/>
    <mergeCell ref="DX285:DY285"/>
    <mergeCell ref="DQ287:DR287"/>
    <mergeCell ref="DQ348:DR348"/>
    <mergeCell ref="DT348:DU348"/>
    <mergeCell ref="DX348:DY348"/>
    <mergeCell ref="ED348:EE348"/>
    <mergeCell ref="DQ346:DR346"/>
    <mergeCell ref="DT346:DU346"/>
    <mergeCell ref="DX346:DY346"/>
    <mergeCell ref="DT349:DU349"/>
    <mergeCell ref="DX349:DY349"/>
    <mergeCell ref="ED349:EE349"/>
    <mergeCell ref="EG348:EH348"/>
    <mergeCell ref="EK348:EL348"/>
    <mergeCell ref="DQ281:DR281"/>
    <mergeCell ref="DT281:DU281"/>
    <mergeCell ref="DX281:DY281"/>
    <mergeCell ref="ED281:EE281"/>
    <mergeCell ref="EG281:EH281"/>
    <mergeCell ref="EK349:EL349"/>
    <mergeCell ref="DQ282:DR282"/>
    <mergeCell ref="DT282:DU282"/>
    <mergeCell ref="DX282:DY282"/>
    <mergeCell ref="ED282:EE282"/>
    <mergeCell ref="EG282:EH282"/>
    <mergeCell ref="EK282:EL282"/>
    <mergeCell ref="DQ285:DR285"/>
    <mergeCell ref="DT285:DU285"/>
    <mergeCell ref="DQ349:DR349"/>
    <mergeCell ref="EK350:EL350"/>
    <mergeCell ref="DQ283:DR283"/>
    <mergeCell ref="DT283:DU283"/>
    <mergeCell ref="DX283:DY283"/>
    <mergeCell ref="ED283:EE283"/>
    <mergeCell ref="EG283:EH283"/>
    <mergeCell ref="EK283:EL283"/>
    <mergeCell ref="DX286:DY286"/>
    <mergeCell ref="EK284:EL284"/>
    <mergeCell ref="DQ350:DR350"/>
    <mergeCell ref="DT286:DU286"/>
    <mergeCell ref="DQ351:DR351"/>
    <mergeCell ref="DT351:DU351"/>
    <mergeCell ref="DX351:DY351"/>
    <mergeCell ref="ED351:EE351"/>
    <mergeCell ref="EG350:EH350"/>
    <mergeCell ref="DT350:DU350"/>
    <mergeCell ref="DX350:DY350"/>
    <mergeCell ref="ED350:EE350"/>
    <mergeCell ref="EG349:EH349"/>
    <mergeCell ref="DQ284:DR284"/>
    <mergeCell ref="ED285:EE285"/>
    <mergeCell ref="EG285:EH285"/>
    <mergeCell ref="DT284:DU284"/>
    <mergeCell ref="DX284:DY284"/>
    <mergeCell ref="ED284:EE284"/>
    <mergeCell ref="EG284:EH284"/>
    <mergeCell ref="DQ362:DR362"/>
    <mergeCell ref="DT362:DU362"/>
    <mergeCell ref="DX362:DY362"/>
    <mergeCell ref="EK362:EL362"/>
    <mergeCell ref="EG351:EH351"/>
    <mergeCell ref="EK351:EL351"/>
    <mergeCell ref="ED286:EE286"/>
    <mergeCell ref="EN284:EO284"/>
    <mergeCell ref="EN285:EO285"/>
    <mergeCell ref="EN286:EO286"/>
    <mergeCell ref="EG286:EH286"/>
    <mergeCell ref="EK286:EL286"/>
    <mergeCell ref="EK285:EL285"/>
    <mergeCell ref="DQ365:DR365"/>
    <mergeCell ref="EK363:EL363"/>
    <mergeCell ref="DQ364:DR364"/>
    <mergeCell ref="DT364:DU364"/>
    <mergeCell ref="DX364:DY364"/>
    <mergeCell ref="DT363:DU363"/>
    <mergeCell ref="DQ363:DR363"/>
    <mergeCell ref="DX363:DY363"/>
    <mergeCell ref="ED363:EE363"/>
    <mergeCell ref="EG363:EH363"/>
    <mergeCell ref="ED288:EE288"/>
    <mergeCell ref="EG288:EH288"/>
    <mergeCell ref="EK288:EL288"/>
    <mergeCell ref="DX287:DY287"/>
    <mergeCell ref="ED287:EE287"/>
    <mergeCell ref="EG287:EH287"/>
    <mergeCell ref="EK287:EL287"/>
    <mergeCell ref="DX288:DY288"/>
    <mergeCell ref="EP288:EQ288"/>
    <mergeCell ref="EG366:EH366"/>
    <mergeCell ref="EK366:EL366"/>
    <mergeCell ref="ED289:EE289"/>
    <mergeCell ref="EG289:EH289"/>
    <mergeCell ref="EK289:EL289"/>
    <mergeCell ref="EN291:EO291"/>
    <mergeCell ref="EN292:EO292"/>
    <mergeCell ref="EP291:EQ291"/>
    <mergeCell ref="EK364:EL364"/>
    <mergeCell ref="ED290:EE290"/>
    <mergeCell ref="EG290:EH290"/>
    <mergeCell ref="EK290:EL290"/>
    <mergeCell ref="DT365:DU365"/>
    <mergeCell ref="DX365:DY365"/>
    <mergeCell ref="ED365:EE365"/>
    <mergeCell ref="EG365:EH365"/>
    <mergeCell ref="EK365:EL365"/>
    <mergeCell ref="ED364:EE364"/>
    <mergeCell ref="EG364:EH364"/>
    <mergeCell ref="EK292:EL292"/>
    <mergeCell ref="ED367:EE367"/>
    <mergeCell ref="ED366:EE366"/>
    <mergeCell ref="ED362:EE362"/>
    <mergeCell ref="EG362:EH362"/>
    <mergeCell ref="ED292:EE292"/>
    <mergeCell ref="ED293:EE293"/>
    <mergeCell ref="EK308:EL308"/>
    <mergeCell ref="ED344:EE344"/>
    <mergeCell ref="EG344:EH344"/>
    <mergeCell ref="EP289:EQ289"/>
    <mergeCell ref="EP290:EQ290"/>
    <mergeCell ref="EG367:EH367"/>
    <mergeCell ref="EK367:EL367"/>
    <mergeCell ref="EG292:EH292"/>
    <mergeCell ref="EG293:EH293"/>
    <mergeCell ref="EN295:EO295"/>
    <mergeCell ref="EN296:EO296"/>
    <mergeCell ref="EP295:EQ295"/>
    <mergeCell ref="EP292:EQ292"/>
    <mergeCell ref="ED370:EE370"/>
    <mergeCell ref="EK291:EL291"/>
    <mergeCell ref="ED369:EE369"/>
    <mergeCell ref="EG370:EH370"/>
    <mergeCell ref="EK370:EL370"/>
    <mergeCell ref="ED291:EE291"/>
    <mergeCell ref="EG291:EH291"/>
    <mergeCell ref="ED368:EE368"/>
    <mergeCell ref="EG369:EH369"/>
    <mergeCell ref="EK369:EL369"/>
    <mergeCell ref="ED294:EE294"/>
    <mergeCell ref="EG294:EH294"/>
    <mergeCell ref="EK294:EL294"/>
    <mergeCell ref="EN293:EO293"/>
    <mergeCell ref="EK293:EL293"/>
    <mergeCell ref="EN294:EO294"/>
    <mergeCell ref="EP293:EQ293"/>
    <mergeCell ref="EP294:EQ294"/>
    <mergeCell ref="EN343:EO343"/>
    <mergeCell ref="EK336:EL336"/>
    <mergeCell ref="EP341:EQ341"/>
    <mergeCell ref="EK342:EL342"/>
    <mergeCell ref="EN342:EO342"/>
    <mergeCell ref="EK343:EL343"/>
    <mergeCell ref="EP342:EQ342"/>
    <mergeCell ref="EK341:EL341"/>
    <mergeCell ref="EG368:EH368"/>
    <mergeCell ref="EK368:EL368"/>
    <mergeCell ref="EG371:EH371"/>
    <mergeCell ref="EK371:EL371"/>
    <mergeCell ref="EG372:EH372"/>
    <mergeCell ref="EK372:EL372"/>
    <mergeCell ref="ED374:EE374"/>
    <mergeCell ref="EK295:EL295"/>
    <mergeCell ref="ED373:EE373"/>
    <mergeCell ref="ED308:EE308"/>
    <mergeCell ref="EG374:EH374"/>
    <mergeCell ref="EK374:EL374"/>
    <mergeCell ref="ED295:EE295"/>
    <mergeCell ref="EG295:EH295"/>
    <mergeCell ref="ED372:EE372"/>
    <mergeCell ref="ED371:EE371"/>
    <mergeCell ref="EP296:EQ296"/>
    <mergeCell ref="ED296:EE296"/>
    <mergeCell ref="ED307:EE307"/>
    <mergeCell ref="EG307:EH307"/>
    <mergeCell ref="EK307:EL307"/>
    <mergeCell ref="EP307:EQ307"/>
    <mergeCell ref="EN307:EO307"/>
    <mergeCell ref="EG296:EH296"/>
    <mergeCell ref="EK296:EL296"/>
    <mergeCell ref="EG310:EH310"/>
    <mergeCell ref="EK310:EL310"/>
    <mergeCell ref="EP308:EQ308"/>
    <mergeCell ref="EN308:EO308"/>
    <mergeCell ref="EN309:EO309"/>
    <mergeCell ref="EN310:EO310"/>
    <mergeCell ref="EG308:EH308"/>
    <mergeCell ref="EK309:EL309"/>
    <mergeCell ref="ED310:EE310"/>
    <mergeCell ref="EG378:EH378"/>
    <mergeCell ref="EK378:EL378"/>
    <mergeCell ref="EP309:EQ309"/>
    <mergeCell ref="EP310:EQ310"/>
    <mergeCell ref="EG373:EH373"/>
    <mergeCell ref="EK373:EL373"/>
    <mergeCell ref="EP343:EQ343"/>
    <mergeCell ref="EK344:EL344"/>
    <mergeCell ref="EG376:EH376"/>
    <mergeCell ref="EK376:EL376"/>
    <mergeCell ref="ED376:EE376"/>
    <mergeCell ref="ED375:EE375"/>
    <mergeCell ref="EP196:EQ196"/>
    <mergeCell ref="EP197:EQ197"/>
    <mergeCell ref="EN344:EO344"/>
    <mergeCell ref="EP344:EQ344"/>
    <mergeCell ref="ED309:EE309"/>
    <mergeCell ref="EG309:EH309"/>
    <mergeCell ref="EP129:EQ129"/>
    <mergeCell ref="EP130:EQ130"/>
    <mergeCell ref="EN114:EO114"/>
    <mergeCell ref="EN115:EO115"/>
    <mergeCell ref="ED378:EE378"/>
    <mergeCell ref="ED377:EE377"/>
    <mergeCell ref="EG375:EH375"/>
    <mergeCell ref="EK375:EL375"/>
    <mergeCell ref="EG377:EH377"/>
    <mergeCell ref="EK377:EL377"/>
    <mergeCell ref="EP113:EQ113"/>
    <mergeCell ref="EP114:EQ114"/>
    <mergeCell ref="EP119:EQ119"/>
    <mergeCell ref="EP120:EQ120"/>
    <mergeCell ref="EP121:EQ121"/>
    <mergeCell ref="EN139:EO139"/>
    <mergeCell ref="EP124:EQ124"/>
    <mergeCell ref="EP125:EQ125"/>
    <mergeCell ref="EP126:EQ126"/>
    <mergeCell ref="EP139:EQ139"/>
    <mergeCell ref="EP264:EQ264"/>
    <mergeCell ref="EP261:EQ261"/>
    <mergeCell ref="EP180:EQ180"/>
    <mergeCell ref="EN128:EO128"/>
    <mergeCell ref="EP150:EQ150"/>
    <mergeCell ref="EP151:EQ151"/>
    <mergeCell ref="EP178:EQ178"/>
    <mergeCell ref="EP145:EQ145"/>
    <mergeCell ref="EP146:EQ146"/>
    <mergeCell ref="EP147:EQ147"/>
    <mergeCell ref="EN260:EO260"/>
    <mergeCell ref="EN255:EO255"/>
    <mergeCell ref="EN256:EO256"/>
    <mergeCell ref="EN257:EO257"/>
    <mergeCell ref="EN258:EO258"/>
    <mergeCell ref="EN259:EO259"/>
    <mergeCell ref="EN288:EO288"/>
    <mergeCell ref="EN280:EO280"/>
    <mergeCell ref="EN281:EO281"/>
    <mergeCell ref="EN262:EO262"/>
    <mergeCell ref="EN263:EO263"/>
    <mergeCell ref="EN264:EO264"/>
    <mergeCell ref="EN275:EO275"/>
    <mergeCell ref="EN276:EO276"/>
    <mergeCell ref="EN278:EO278"/>
    <mergeCell ref="EN283:EO283"/>
    <mergeCell ref="EN287:EO287"/>
    <mergeCell ref="EP246:EQ246"/>
    <mergeCell ref="EP247:EQ247"/>
    <mergeCell ref="EN261:EO261"/>
    <mergeCell ref="EP278:EQ278"/>
    <mergeCell ref="EP260:EQ260"/>
    <mergeCell ref="EP276:EQ276"/>
    <mergeCell ref="EP275:EQ275"/>
    <mergeCell ref="EP263:EQ263"/>
    <mergeCell ref="EP252:EQ252"/>
    <mergeCell ref="EN290:EO290"/>
    <mergeCell ref="EP280:EQ280"/>
    <mergeCell ref="EP281:EQ281"/>
    <mergeCell ref="EP282:EQ282"/>
    <mergeCell ref="EP283:EQ283"/>
    <mergeCell ref="EP284:EQ284"/>
    <mergeCell ref="EP285:EQ285"/>
    <mergeCell ref="EP286:EQ286"/>
    <mergeCell ref="EP287:EQ287"/>
    <mergeCell ref="EN282:EO282"/>
    <mergeCell ref="DX289:DY289"/>
    <mergeCell ref="EN189:EO189"/>
    <mergeCell ref="EP166:EQ166"/>
    <mergeCell ref="EP174:EQ174"/>
    <mergeCell ref="EN174:EO174"/>
    <mergeCell ref="EN178:EO178"/>
    <mergeCell ref="EP188:EQ188"/>
    <mergeCell ref="EP189:EQ189"/>
    <mergeCell ref="EP183:EQ183"/>
    <mergeCell ref="EN289:EO289"/>
    <mergeCell ref="EP207:EQ207"/>
    <mergeCell ref="EP208:EQ208"/>
    <mergeCell ref="EP251:EQ251"/>
    <mergeCell ref="EP248:EQ248"/>
    <mergeCell ref="EP249:EQ249"/>
    <mergeCell ref="EP250:EQ250"/>
    <mergeCell ref="EP217:EQ217"/>
    <mergeCell ref="EP242:EQ242"/>
    <mergeCell ref="EP240:EQ240"/>
    <mergeCell ref="EP210:EQ210"/>
    <mergeCell ref="EP187:EQ187"/>
    <mergeCell ref="EN111:EO111"/>
    <mergeCell ref="EP262:EQ262"/>
    <mergeCell ref="EP256:EQ256"/>
    <mergeCell ref="EP257:EQ257"/>
    <mergeCell ref="EP258:EQ258"/>
    <mergeCell ref="EP259:EQ259"/>
    <mergeCell ref="EP253:EQ253"/>
    <mergeCell ref="EP201:EQ201"/>
    <mergeCell ref="EP206:EQ206"/>
    <mergeCell ref="EP115:EQ115"/>
    <mergeCell ref="EP116:EQ116"/>
    <mergeCell ref="EP254:EQ254"/>
    <mergeCell ref="EP255:EQ255"/>
    <mergeCell ref="I18:V18"/>
    <mergeCell ref="EN142:EO142"/>
    <mergeCell ref="EN122:EO122"/>
    <mergeCell ref="V141:W141"/>
    <mergeCell ref="EN126:EO126"/>
    <mergeCell ref="EN124:EO124"/>
    <mergeCell ref="EN123:EO123"/>
    <mergeCell ref="EP122:EQ122"/>
    <mergeCell ref="EP123:EQ123"/>
    <mergeCell ref="EP127:EQ127"/>
    <mergeCell ref="EP128:EQ128"/>
    <mergeCell ref="EP117:EQ117"/>
    <mergeCell ref="EN118:EO118"/>
    <mergeCell ref="EN119:EO119"/>
    <mergeCell ref="EN127:EO127"/>
    <mergeCell ref="EP200:EQ200"/>
    <mergeCell ref="EP198:EQ198"/>
    <mergeCell ref="EP199:EQ199"/>
    <mergeCell ref="EP118:EQ118"/>
    <mergeCell ref="EP140:EQ140"/>
    <mergeCell ref="EN120:EO120"/>
    <mergeCell ref="EN121:EO121"/>
    <mergeCell ref="EN144:EO144"/>
    <mergeCell ref="EP153:EQ153"/>
    <mergeCell ref="EP154:EQ154"/>
    <mergeCell ref="EN152:EO152"/>
    <mergeCell ref="EP144:EQ144"/>
    <mergeCell ref="EN148:EO148"/>
    <mergeCell ref="EN149:EO149"/>
    <mergeCell ref="EN146:EO146"/>
    <mergeCell ref="EN147:EO147"/>
    <mergeCell ref="EN145:EO145"/>
    <mergeCell ref="EN150:EO150"/>
    <mergeCell ref="EP155:EQ155"/>
    <mergeCell ref="EN156:EO156"/>
    <mergeCell ref="EP159:EQ159"/>
    <mergeCell ref="EP160:EQ160"/>
    <mergeCell ref="EP158:EQ158"/>
    <mergeCell ref="EP156:EQ156"/>
    <mergeCell ref="EP157:EQ157"/>
    <mergeCell ref="EN158:EO158"/>
    <mergeCell ref="EN155:EO155"/>
    <mergeCell ref="EN159:EO159"/>
    <mergeCell ref="EP161:EQ161"/>
    <mergeCell ref="EP162:EQ162"/>
    <mergeCell ref="EN164:EO164"/>
    <mergeCell ref="EN161:EO161"/>
    <mergeCell ref="EN163:EO163"/>
    <mergeCell ref="EP163:EQ163"/>
    <mergeCell ref="EP164:EQ164"/>
    <mergeCell ref="EN162:EO162"/>
    <mergeCell ref="EN169:EO169"/>
    <mergeCell ref="EP186:EQ186"/>
    <mergeCell ref="EP184:EQ184"/>
    <mergeCell ref="EP176:EQ176"/>
    <mergeCell ref="EN176:EO176"/>
    <mergeCell ref="EP185:EQ185"/>
    <mergeCell ref="EP179:EQ179"/>
    <mergeCell ref="EN185:EO185"/>
    <mergeCell ref="EN184:EO184"/>
    <mergeCell ref="EN181:EO181"/>
    <mergeCell ref="V163:Y163"/>
    <mergeCell ref="V161:Y161"/>
    <mergeCell ref="V164:Y164"/>
    <mergeCell ref="V162:Y162"/>
    <mergeCell ref="DX292:DY292"/>
    <mergeCell ref="DQ290:DR290"/>
    <mergeCell ref="DT290:DU290"/>
    <mergeCell ref="DX290:DY290"/>
    <mergeCell ref="DQ291:DR291"/>
    <mergeCell ref="DT291:DU291"/>
    <mergeCell ref="ED106:EE106"/>
    <mergeCell ref="EG106:EH106"/>
    <mergeCell ref="EK106:EL106"/>
    <mergeCell ref="EN106:EO106"/>
    <mergeCell ref="EP106:EQ106"/>
    <mergeCell ref="ED105:EE105"/>
    <mergeCell ref="EG105:EH105"/>
    <mergeCell ref="EK105:EL105"/>
    <mergeCell ref="EZ108:FA108"/>
    <mergeCell ref="FE114:FH114"/>
    <mergeCell ref="FG108:FH108"/>
    <mergeCell ref="FC108:FD108"/>
    <mergeCell ref="EN105:EO105"/>
    <mergeCell ref="EP105:EQ105"/>
    <mergeCell ref="EN113:EO113"/>
    <mergeCell ref="EN112:EO112"/>
    <mergeCell ref="EP111:EQ111"/>
    <mergeCell ref="EP112:EQ112"/>
    <mergeCell ref="ET111:EU111"/>
    <mergeCell ref="ET112:EU112"/>
    <mergeCell ref="ET113:EU113"/>
    <mergeCell ref="ET114:EU114"/>
    <mergeCell ref="EV108:EW108"/>
    <mergeCell ref="EX108:EY108"/>
    <mergeCell ref="ET108:EU108"/>
    <mergeCell ref="ET110:EU110"/>
    <mergeCell ref="ET127:EU127"/>
    <mergeCell ref="ET115:EU115"/>
    <mergeCell ref="ET116:EU116"/>
    <mergeCell ref="ET117:EU117"/>
    <mergeCell ref="ET123:EU123"/>
    <mergeCell ref="ET118:EU118"/>
    <mergeCell ref="ET119:EU119"/>
    <mergeCell ref="ET120:EU120"/>
    <mergeCell ref="ET121:EU121"/>
    <mergeCell ref="ET122:EU122"/>
    <mergeCell ref="DX130:DY130"/>
    <mergeCell ref="ED139:EE139"/>
    <mergeCell ref="ET128:EU128"/>
    <mergeCell ref="EN125:EO125"/>
    <mergeCell ref="ED124:EE124"/>
    <mergeCell ref="EK125:EL125"/>
    <mergeCell ref="ER129:ES129"/>
    <mergeCell ref="ER130:ES130"/>
    <mergeCell ref="ED125:EE125"/>
    <mergeCell ref="ET126:EU126"/>
    <mergeCell ref="DX121:DY121"/>
    <mergeCell ref="DQ122:DR122"/>
    <mergeCell ref="DQ139:DR139"/>
    <mergeCell ref="DT139:DU139"/>
    <mergeCell ref="DX139:DY139"/>
    <mergeCell ref="DX128:DY128"/>
    <mergeCell ref="DQ129:DR129"/>
    <mergeCell ref="DT129:DU129"/>
    <mergeCell ref="DX129:DY129"/>
    <mergeCell ref="DQ130:DR130"/>
    <mergeCell ref="CK141:CM141"/>
    <mergeCell ref="CG140:CH140"/>
    <mergeCell ref="CG141:CH141"/>
    <mergeCell ref="CI141:CJ141"/>
    <mergeCell ref="DQ121:DR121"/>
    <mergeCell ref="DT121:DU121"/>
    <mergeCell ref="DT130:DU130"/>
    <mergeCell ref="DT122:DU122"/>
    <mergeCell ref="CI140:CJ140"/>
    <mergeCell ref="CN140:CP140"/>
    <mergeCell ref="CY149:DA149"/>
    <mergeCell ref="CT144:CU144"/>
    <mergeCell ref="CK142:CM142"/>
    <mergeCell ref="CR142:CS142"/>
    <mergeCell ref="CN142:CP142"/>
    <mergeCell ref="CI142:CJ142"/>
    <mergeCell ref="CR147:CS147"/>
    <mergeCell ref="CR148:CS148"/>
    <mergeCell ref="CT148:CU148"/>
    <mergeCell ref="CV147:CX147"/>
    <mergeCell ref="DQ144:DR144"/>
    <mergeCell ref="ED144:EE144"/>
    <mergeCell ref="CN141:CP141"/>
    <mergeCell ref="DX149:DY149"/>
    <mergeCell ref="ED153:EE153"/>
    <mergeCell ref="CR141:CS141"/>
    <mergeCell ref="DQ151:DR151"/>
    <mergeCell ref="DQ150:DR150"/>
    <mergeCell ref="CT149:CU149"/>
    <mergeCell ref="CR149:CS149"/>
    <mergeCell ref="DT165:DU165"/>
    <mergeCell ref="DX163:DY163"/>
    <mergeCell ref="DX167:DY167"/>
    <mergeCell ref="DX165:DY165"/>
    <mergeCell ref="CT143:CU143"/>
    <mergeCell ref="EK145:EL145"/>
    <mergeCell ref="DX145:DY145"/>
    <mergeCell ref="DX144:DY144"/>
    <mergeCell ref="ED145:EE145"/>
    <mergeCell ref="EG144:EH144"/>
    <mergeCell ref="EK155:EL155"/>
    <mergeCell ref="EG158:EH158"/>
    <mergeCell ref="DT159:DU159"/>
    <mergeCell ref="DT160:DU160"/>
    <mergeCell ref="DT161:DU161"/>
    <mergeCell ref="DT167:DU167"/>
    <mergeCell ref="DT162:DU162"/>
    <mergeCell ref="DX166:DY166"/>
    <mergeCell ref="DT163:DU163"/>
    <mergeCell ref="DX164:DY164"/>
    <mergeCell ref="DX160:DY160"/>
    <mergeCell ref="EK158:EL158"/>
    <mergeCell ref="EG152:EH152"/>
    <mergeCell ref="EK161:EL161"/>
    <mergeCell ref="EG153:EH153"/>
    <mergeCell ref="EG154:EH154"/>
    <mergeCell ref="EK157:EL157"/>
    <mergeCell ref="EK156:EL156"/>
    <mergeCell ref="EG159:EH159"/>
    <mergeCell ref="EK159:EL159"/>
    <mergeCell ref="DX156:DY156"/>
    <mergeCell ref="DX157:DY157"/>
    <mergeCell ref="ED162:EE162"/>
    <mergeCell ref="ED163:EE163"/>
    <mergeCell ref="ED159:EE159"/>
    <mergeCell ref="ED161:EE161"/>
    <mergeCell ref="ED160:EE160"/>
    <mergeCell ref="DX159:DY159"/>
    <mergeCell ref="DX161:DY161"/>
    <mergeCell ref="DX162:DY162"/>
    <mergeCell ref="ED154:EE154"/>
    <mergeCell ref="EG155:EH155"/>
    <mergeCell ref="DX158:DY158"/>
    <mergeCell ref="DT158:DU158"/>
    <mergeCell ref="ED156:EE156"/>
    <mergeCell ref="ED155:EE155"/>
    <mergeCell ref="DT156:DU156"/>
    <mergeCell ref="DT157:DU157"/>
    <mergeCell ref="DX155:DY155"/>
    <mergeCell ref="ED158:EE158"/>
    <mergeCell ref="ER128:ES128"/>
    <mergeCell ref="ER137:ES137"/>
    <mergeCell ref="ER138:ES138"/>
    <mergeCell ref="ED157:EE157"/>
    <mergeCell ref="EN157:EO157"/>
    <mergeCell ref="EN154:EO154"/>
    <mergeCell ref="EG156:EH156"/>
    <mergeCell ref="EG157:EH157"/>
    <mergeCell ref="ED147:EE147"/>
    <mergeCell ref="EG147:EH147"/>
    <mergeCell ref="DT127:DU127"/>
    <mergeCell ref="EN140:EO140"/>
    <mergeCell ref="DX127:DY127"/>
    <mergeCell ref="DT142:DU142"/>
    <mergeCell ref="ED142:EE142"/>
    <mergeCell ref="EK139:EL139"/>
    <mergeCell ref="EK140:EL140"/>
    <mergeCell ref="EK127:EL127"/>
    <mergeCell ref="EG140:EH140"/>
    <mergeCell ref="ED140:EE140"/>
    <mergeCell ref="CY142:DA142"/>
    <mergeCell ref="CY141:DA141"/>
    <mergeCell ref="EP142:EQ142"/>
    <mergeCell ref="ED146:EE146"/>
    <mergeCell ref="CY144:DA144"/>
    <mergeCell ref="EG142:EH142"/>
    <mergeCell ref="EK142:EL142"/>
    <mergeCell ref="EG146:EH146"/>
    <mergeCell ref="EG145:EH145"/>
    <mergeCell ref="DT145:DU145"/>
    <mergeCell ref="ET150:EU150"/>
    <mergeCell ref="EG139:EH139"/>
    <mergeCell ref="ER145:ES145"/>
    <mergeCell ref="ER146:ES146"/>
    <mergeCell ref="ER139:ES139"/>
    <mergeCell ref="CT140:CU140"/>
    <mergeCell ref="CY140:DA140"/>
    <mergeCell ref="CT141:CU141"/>
    <mergeCell ref="CV140:CX140"/>
    <mergeCell ref="CV141:CX141"/>
    <mergeCell ref="EP152:EQ152"/>
    <mergeCell ref="EP148:EQ148"/>
    <mergeCell ref="EN151:EO151"/>
    <mergeCell ref="EK152:EL152"/>
    <mergeCell ref="EK150:EL150"/>
    <mergeCell ref="ER150:ES150"/>
    <mergeCell ref="EK148:EL148"/>
    <mergeCell ref="EZ140:FA140"/>
    <mergeCell ref="ED148:EE148"/>
    <mergeCell ref="DX148:DY148"/>
    <mergeCell ref="BB147:BD147"/>
    <mergeCell ref="BE147:BG147"/>
    <mergeCell ref="BE148:BG148"/>
    <mergeCell ref="CK147:CM147"/>
    <mergeCell ref="CT142:CU142"/>
    <mergeCell ref="CV142:CX142"/>
    <mergeCell ref="BB141:BD141"/>
    <mergeCell ref="AJ146:AK146"/>
    <mergeCell ref="EG151:EH151"/>
    <mergeCell ref="EX142:EY142"/>
    <mergeCell ref="ED149:EE149"/>
    <mergeCell ref="ED151:EE151"/>
    <mergeCell ref="ED150:EE150"/>
    <mergeCell ref="ET151:EU151"/>
    <mergeCell ref="EG150:EH150"/>
    <mergeCell ref="EG149:EH149"/>
    <mergeCell ref="ER149:ES149"/>
    <mergeCell ref="AP142:AQ142"/>
    <mergeCell ref="AR142:AT142"/>
    <mergeCell ref="AP141:AQ141"/>
    <mergeCell ref="AF144:AH144"/>
    <mergeCell ref="AF142:AH142"/>
    <mergeCell ref="AL143:AM143"/>
    <mergeCell ref="AN142:AO142"/>
    <mergeCell ref="AJ141:AK141"/>
    <mergeCell ref="AN143:AO143"/>
    <mergeCell ref="AJ143:AK143"/>
    <mergeCell ref="AX144:AY144"/>
    <mergeCell ref="AZ145:BA145"/>
    <mergeCell ref="AV144:AW144"/>
    <mergeCell ref="AJ144:AK144"/>
    <mergeCell ref="AJ145:AK145"/>
    <mergeCell ref="AV145:AW145"/>
    <mergeCell ref="AN145:AO145"/>
    <mergeCell ref="AR144:AT144"/>
    <mergeCell ref="AX145:AY145"/>
    <mergeCell ref="AD151:AF151"/>
    <mergeCell ref="AH10:AJ10"/>
    <mergeCell ref="AG2:AK2"/>
    <mergeCell ref="AG3:AK9"/>
    <mergeCell ref="AF14:AL28"/>
    <mergeCell ref="AF29:AL40"/>
    <mergeCell ref="AF143:AH143"/>
    <mergeCell ref="AF147:AH147"/>
    <mergeCell ref="AF148:AH148"/>
    <mergeCell ref="AJ147:AK147"/>
    <mergeCell ref="AZ140:BA140"/>
    <mergeCell ref="BB140:BD140"/>
    <mergeCell ref="AY107:BB107"/>
    <mergeCell ref="AV116:AX116"/>
    <mergeCell ref="AV117:AX117"/>
    <mergeCell ref="AW111:AX111"/>
    <mergeCell ref="AW112:AX112"/>
    <mergeCell ref="AW110:AX110"/>
    <mergeCell ref="AW109:AX109"/>
    <mergeCell ref="AW107:AX107"/>
    <mergeCell ref="AS117:AT117"/>
    <mergeCell ref="AL140:AM140"/>
    <mergeCell ref="E33:AB33"/>
    <mergeCell ref="E34:AB34"/>
    <mergeCell ref="F35:I35"/>
    <mergeCell ref="K35:M35"/>
    <mergeCell ref="O35:Q35"/>
    <mergeCell ref="S35:V35"/>
    <mergeCell ref="X35:AA35"/>
    <mergeCell ref="S36:V36"/>
    <mergeCell ref="ER215:ES215"/>
    <mergeCell ref="ET215:EU215"/>
    <mergeCell ref="FC215:FD215"/>
    <mergeCell ref="EP149:EQ149"/>
    <mergeCell ref="ER153:ES153"/>
    <mergeCell ref="ER154:ES154"/>
    <mergeCell ref="ER151:ES151"/>
    <mergeCell ref="ER152:ES152"/>
    <mergeCell ref="ET153:EU153"/>
    <mergeCell ref="ET154:EU154"/>
    <mergeCell ref="E147:H147"/>
    <mergeCell ref="I147:L147"/>
    <mergeCell ref="R147:U147"/>
    <mergeCell ref="AC147:AE147"/>
    <mergeCell ref="V147:W147"/>
    <mergeCell ref="BK148:BL148"/>
    <mergeCell ref="AX147:AY147"/>
    <mergeCell ref="AZ147:BA147"/>
    <mergeCell ref="AX148:AY148"/>
    <mergeCell ref="AZ148:BA148"/>
    <mergeCell ref="AJ148:AK148"/>
    <mergeCell ref="AR148:AT148"/>
    <mergeCell ref="AV148:AW148"/>
    <mergeCell ref="CN147:CP147"/>
    <mergeCell ref="CN148:CP148"/>
    <mergeCell ref="CG147:CH147"/>
    <mergeCell ref="BO148:BQ148"/>
    <mergeCell ref="CI147:CJ147"/>
    <mergeCell ref="CK148:CM148"/>
    <mergeCell ref="BB148:BD148"/>
    <mergeCell ref="BV149:BW149"/>
    <mergeCell ref="CC149:CE149"/>
    <mergeCell ref="AP149:AQ149"/>
    <mergeCell ref="BR149:BT149"/>
    <mergeCell ref="AL149:AM149"/>
    <mergeCell ref="BO149:BQ149"/>
    <mergeCell ref="BZ149:CB149"/>
    <mergeCell ref="AS156:BG156"/>
    <mergeCell ref="CY147:DA147"/>
    <mergeCell ref="CY148:DA148"/>
    <mergeCell ref="BV148:BW148"/>
    <mergeCell ref="BX147:BY147"/>
    <mergeCell ref="BX148:BY148"/>
    <mergeCell ref="BR147:BT147"/>
    <mergeCell ref="BR148:BT148"/>
    <mergeCell ref="BI148:BJ148"/>
    <mergeCell ref="BM148:BN148"/>
    <mergeCell ref="BZ147:CB147"/>
    <mergeCell ref="BZ148:CB148"/>
    <mergeCell ref="CC147:CE147"/>
    <mergeCell ref="CC148:CE148"/>
    <mergeCell ref="EN167:EO167"/>
    <mergeCell ref="EN153:EO153"/>
    <mergeCell ref="EK154:EL154"/>
    <mergeCell ref="ED152:EE152"/>
    <mergeCell ref="EG148:EH148"/>
    <mergeCell ref="DX154:DY154"/>
    <mergeCell ref="DQ380:DR380"/>
    <mergeCell ref="DT380:DU380"/>
    <mergeCell ref="DX380:DY380"/>
    <mergeCell ref="ED380:EE380"/>
    <mergeCell ref="EV323:FA323"/>
    <mergeCell ref="FE218:FH218"/>
    <mergeCell ref="FE219:FH219"/>
    <mergeCell ref="DX291:DY291"/>
    <mergeCell ref="DQ292:DR292"/>
    <mergeCell ref="EP244:EQ244"/>
    <mergeCell ref="ER380:ES380"/>
    <mergeCell ref="ET380:EU380"/>
    <mergeCell ref="EV380:EW380"/>
    <mergeCell ref="EX380:EY380"/>
    <mergeCell ref="EG380:EH380"/>
    <mergeCell ref="EK380:EL380"/>
    <mergeCell ref="EN380:EO380"/>
    <mergeCell ref="EP380:EQ380"/>
    <mergeCell ref="EZ380:FA380"/>
    <mergeCell ref="FG380:FH380"/>
    <mergeCell ref="FR380:FS380"/>
    <mergeCell ref="DQ382:DR382"/>
    <mergeCell ref="DT382:DU382"/>
    <mergeCell ref="DX382:DY382"/>
    <mergeCell ref="ED382:EE382"/>
    <mergeCell ref="EG382:EH382"/>
    <mergeCell ref="EK382:EL382"/>
    <mergeCell ref="EN382:EO382"/>
    <mergeCell ref="EP382:EQ382"/>
    <mergeCell ref="ER382:ES382"/>
    <mergeCell ref="ET382:EU382"/>
    <mergeCell ref="DQ383:DR383"/>
    <mergeCell ref="DT383:DU383"/>
    <mergeCell ref="DX383:DY383"/>
    <mergeCell ref="ED383:EE383"/>
    <mergeCell ref="EG383:EH383"/>
    <mergeCell ref="EK383:EL383"/>
    <mergeCell ref="EN383:EO383"/>
    <mergeCell ref="EP383:EQ383"/>
    <mergeCell ref="ER383:ES383"/>
    <mergeCell ref="ET383:EU383"/>
    <mergeCell ref="DQ384:DR384"/>
    <mergeCell ref="DT384:DU384"/>
    <mergeCell ref="DX384:DY384"/>
    <mergeCell ref="ED384:EE384"/>
    <mergeCell ref="EG384:EH384"/>
    <mergeCell ref="EK384:EL384"/>
    <mergeCell ref="EN384:EO384"/>
    <mergeCell ref="EP384:EQ384"/>
    <mergeCell ref="ER384:ES384"/>
    <mergeCell ref="ET384:EU384"/>
    <mergeCell ref="DQ385:DR385"/>
    <mergeCell ref="DT385:DU385"/>
    <mergeCell ref="DX385:DY385"/>
    <mergeCell ref="ED385:EE385"/>
    <mergeCell ref="EG385:EH385"/>
    <mergeCell ref="EK385:EL385"/>
    <mergeCell ref="EN385:EO385"/>
    <mergeCell ref="ET386:EU386"/>
    <mergeCell ref="FE386:FH386"/>
    <mergeCell ref="EP385:EQ385"/>
    <mergeCell ref="ER385:ES385"/>
    <mergeCell ref="ET385:EU385"/>
    <mergeCell ref="DQ386:DR386"/>
    <mergeCell ref="DT386:DU386"/>
    <mergeCell ref="DX386:DY386"/>
    <mergeCell ref="ED386:EE386"/>
    <mergeCell ref="EG386:EH386"/>
    <mergeCell ref="DQ387:DR387"/>
    <mergeCell ref="DT387:DU387"/>
    <mergeCell ref="DX387:DY387"/>
    <mergeCell ref="ED387:EE387"/>
    <mergeCell ref="EP386:EQ386"/>
    <mergeCell ref="ER386:ES386"/>
    <mergeCell ref="EK386:EL386"/>
    <mergeCell ref="EN386:EO386"/>
    <mergeCell ref="EK388:EL388"/>
    <mergeCell ref="EN388:EO388"/>
    <mergeCell ref="EG387:EH387"/>
    <mergeCell ref="EK387:EL387"/>
    <mergeCell ref="EN387:EO387"/>
    <mergeCell ref="EP387:EQ387"/>
    <mergeCell ref="EK389:EL389"/>
    <mergeCell ref="EN389:EO389"/>
    <mergeCell ref="ER387:ES387"/>
    <mergeCell ref="ET387:EU387"/>
    <mergeCell ref="FE387:FH387"/>
    <mergeCell ref="DQ388:DR388"/>
    <mergeCell ref="DT388:DU388"/>
    <mergeCell ref="DX388:DY388"/>
    <mergeCell ref="ED388:EE388"/>
    <mergeCell ref="EG388:EH388"/>
    <mergeCell ref="EK390:EL390"/>
    <mergeCell ref="EN390:EO390"/>
    <mergeCell ref="EP388:EQ388"/>
    <mergeCell ref="ER388:ES388"/>
    <mergeCell ref="ET388:EU388"/>
    <mergeCell ref="DQ389:DR389"/>
    <mergeCell ref="DT389:DU389"/>
    <mergeCell ref="DX389:DY389"/>
    <mergeCell ref="ED389:EE389"/>
    <mergeCell ref="EG389:EH389"/>
    <mergeCell ref="EK391:EL391"/>
    <mergeCell ref="EN391:EO391"/>
    <mergeCell ref="EP389:EQ389"/>
    <mergeCell ref="ER389:ES389"/>
    <mergeCell ref="ET389:EU389"/>
    <mergeCell ref="DQ390:DR390"/>
    <mergeCell ref="DT390:DU390"/>
    <mergeCell ref="DX390:DY390"/>
    <mergeCell ref="ED390:EE390"/>
    <mergeCell ref="EG390:EH390"/>
    <mergeCell ref="EK392:EL392"/>
    <mergeCell ref="EN392:EO392"/>
    <mergeCell ref="EP390:EQ390"/>
    <mergeCell ref="ER390:ES390"/>
    <mergeCell ref="ET390:EU390"/>
    <mergeCell ref="DQ391:DR391"/>
    <mergeCell ref="DT391:DU391"/>
    <mergeCell ref="DX391:DY391"/>
    <mergeCell ref="ED391:EE391"/>
    <mergeCell ref="EG391:EH391"/>
    <mergeCell ref="EN393:EO393"/>
    <mergeCell ref="EP391:EQ391"/>
    <mergeCell ref="EP393:EQ393"/>
    <mergeCell ref="ER391:ES391"/>
    <mergeCell ref="ET391:EU391"/>
    <mergeCell ref="DQ392:DR392"/>
    <mergeCell ref="DT392:DU392"/>
    <mergeCell ref="DX392:DY392"/>
    <mergeCell ref="ED392:EE392"/>
    <mergeCell ref="EG392:EH392"/>
    <mergeCell ref="DQ393:DR393"/>
    <mergeCell ref="DT393:DU393"/>
    <mergeCell ref="DX393:DY393"/>
    <mergeCell ref="ED393:EE393"/>
    <mergeCell ref="EG393:EH393"/>
    <mergeCell ref="EK393:EL393"/>
    <mergeCell ref="EN395:EO395"/>
    <mergeCell ref="ER393:ES393"/>
    <mergeCell ref="ET393:EU393"/>
    <mergeCell ref="DQ394:DR394"/>
    <mergeCell ref="DT394:DU394"/>
    <mergeCell ref="DX394:DY394"/>
    <mergeCell ref="ED394:EE394"/>
    <mergeCell ref="EG394:EH394"/>
    <mergeCell ref="EK394:EL394"/>
    <mergeCell ref="EN394:EO394"/>
    <mergeCell ref="DQ395:DR395"/>
    <mergeCell ref="DT395:DU395"/>
    <mergeCell ref="DX395:DY395"/>
    <mergeCell ref="ED395:EE395"/>
    <mergeCell ref="EG395:EH395"/>
    <mergeCell ref="EK395:EL395"/>
    <mergeCell ref="EP395:EQ395"/>
    <mergeCell ref="ER395:ES395"/>
    <mergeCell ref="ET395:EU395"/>
    <mergeCell ref="FC395:FD395"/>
    <mergeCell ref="ER394:ES394"/>
    <mergeCell ref="ET394:EU394"/>
    <mergeCell ref="FC394:FD394"/>
    <mergeCell ref="EP394:EQ394"/>
    <mergeCell ref="EN397:EO397"/>
    <mergeCell ref="EG396:EH396"/>
    <mergeCell ref="EK396:EL396"/>
    <mergeCell ref="EN396:EO396"/>
    <mergeCell ref="EP396:EQ396"/>
    <mergeCell ref="DQ396:DR396"/>
    <mergeCell ref="DT396:DU396"/>
    <mergeCell ref="DX396:DY396"/>
    <mergeCell ref="ED396:EE396"/>
    <mergeCell ref="DQ397:DR397"/>
    <mergeCell ref="DT397:DU397"/>
    <mergeCell ref="DX397:DY397"/>
    <mergeCell ref="ED397:EE397"/>
    <mergeCell ref="EG397:EH397"/>
    <mergeCell ref="EK397:EL397"/>
    <mergeCell ref="EP397:EQ397"/>
    <mergeCell ref="ER397:ES397"/>
    <mergeCell ref="ET397:EU397"/>
    <mergeCell ref="FC397:FD397"/>
    <mergeCell ref="ER396:ES396"/>
    <mergeCell ref="ET396:EU396"/>
    <mergeCell ref="FC396:FD396"/>
    <mergeCell ref="EN399:EO399"/>
    <mergeCell ref="EG398:EH398"/>
    <mergeCell ref="EK398:EL398"/>
    <mergeCell ref="EN398:EO398"/>
    <mergeCell ref="EP398:EQ398"/>
    <mergeCell ref="DQ398:DR398"/>
    <mergeCell ref="DT398:DU398"/>
    <mergeCell ref="DX398:DY398"/>
    <mergeCell ref="ED398:EE398"/>
    <mergeCell ref="DQ399:DR399"/>
    <mergeCell ref="DT399:DU399"/>
    <mergeCell ref="DX399:DY399"/>
    <mergeCell ref="ED399:EE399"/>
    <mergeCell ref="EG399:EH399"/>
    <mergeCell ref="EK399:EL399"/>
    <mergeCell ref="EP399:EQ399"/>
    <mergeCell ref="ER399:ES399"/>
    <mergeCell ref="ET399:EU399"/>
    <mergeCell ref="FC399:FD399"/>
    <mergeCell ref="ER398:ES398"/>
    <mergeCell ref="ET398:EU398"/>
    <mergeCell ref="FC398:FD398"/>
    <mergeCell ref="EN401:EO401"/>
    <mergeCell ref="EG400:EH400"/>
    <mergeCell ref="EK400:EL400"/>
    <mergeCell ref="EN400:EO400"/>
    <mergeCell ref="EP400:EQ400"/>
    <mergeCell ref="DQ400:DR400"/>
    <mergeCell ref="DT400:DU400"/>
    <mergeCell ref="DX400:DY400"/>
    <mergeCell ref="ED400:EE400"/>
    <mergeCell ref="DQ401:DR401"/>
    <mergeCell ref="DT401:DU401"/>
    <mergeCell ref="DX401:DY401"/>
    <mergeCell ref="ED401:EE401"/>
    <mergeCell ref="EG401:EH401"/>
    <mergeCell ref="EK401:EL401"/>
    <mergeCell ref="EP401:EQ401"/>
    <mergeCell ref="ER401:ES401"/>
    <mergeCell ref="ET401:EU401"/>
    <mergeCell ref="FC401:FD401"/>
    <mergeCell ref="ER400:ES400"/>
    <mergeCell ref="ET400:EU400"/>
    <mergeCell ref="FC400:FD400"/>
    <mergeCell ref="EN403:EO403"/>
    <mergeCell ref="EG402:EH402"/>
    <mergeCell ref="EK402:EL402"/>
    <mergeCell ref="EN402:EO402"/>
    <mergeCell ref="EP402:EQ402"/>
    <mergeCell ref="DQ402:DR402"/>
    <mergeCell ref="DT402:DU402"/>
    <mergeCell ref="DX402:DY402"/>
    <mergeCell ref="ED402:EE402"/>
    <mergeCell ref="DQ403:DR403"/>
    <mergeCell ref="DT403:DU403"/>
    <mergeCell ref="DX403:DY403"/>
    <mergeCell ref="ED403:EE403"/>
    <mergeCell ref="EG403:EH403"/>
    <mergeCell ref="EK403:EL403"/>
    <mergeCell ref="EP403:EQ403"/>
    <mergeCell ref="ER403:ES403"/>
    <mergeCell ref="ET403:EU403"/>
    <mergeCell ref="FC403:FD403"/>
    <mergeCell ref="ER402:ES402"/>
    <mergeCell ref="ET402:EU402"/>
    <mergeCell ref="FC402:FD402"/>
    <mergeCell ref="EG404:EH404"/>
    <mergeCell ref="EK404:EL404"/>
    <mergeCell ref="EN404:EO404"/>
    <mergeCell ref="EP404:EQ404"/>
    <mergeCell ref="DQ404:DR404"/>
    <mergeCell ref="DT404:DU404"/>
    <mergeCell ref="DX404:DY404"/>
    <mergeCell ref="ED404:EE404"/>
    <mergeCell ref="ER404:ES404"/>
    <mergeCell ref="ET404:EU404"/>
    <mergeCell ref="DQ405:DR405"/>
    <mergeCell ref="DT405:DU405"/>
    <mergeCell ref="DX405:DY405"/>
    <mergeCell ref="ED405:EE405"/>
    <mergeCell ref="EG405:EH405"/>
    <mergeCell ref="EK405:EL405"/>
    <mergeCell ref="EN405:EO405"/>
    <mergeCell ref="EP405:EQ405"/>
    <mergeCell ref="ER405:ES405"/>
    <mergeCell ref="ET405:EU405"/>
    <mergeCell ref="FC405:FD405"/>
    <mergeCell ref="DQ406:DR406"/>
    <mergeCell ref="DT406:DU406"/>
    <mergeCell ref="DX406:DY406"/>
    <mergeCell ref="ED406:EE406"/>
    <mergeCell ref="EG406:EH406"/>
    <mergeCell ref="EK406:EL406"/>
    <mergeCell ref="EN406:EO406"/>
    <mergeCell ref="EP406:EQ406"/>
    <mergeCell ref="ER406:ES406"/>
    <mergeCell ref="ET406:EU406"/>
    <mergeCell ref="DQ407:DR407"/>
    <mergeCell ref="DT407:DU407"/>
    <mergeCell ref="DX407:DY407"/>
    <mergeCell ref="ED407:EE407"/>
    <mergeCell ref="EG407:EH407"/>
    <mergeCell ref="EK407:EL407"/>
    <mergeCell ref="EN407:EO407"/>
    <mergeCell ref="EP407:EQ407"/>
    <mergeCell ref="ER407:ES407"/>
    <mergeCell ref="ET407:EU407"/>
    <mergeCell ref="DQ408:DR408"/>
    <mergeCell ref="DT408:DU408"/>
    <mergeCell ref="DX408:DY408"/>
    <mergeCell ref="ED408:EE408"/>
    <mergeCell ref="EG408:EH408"/>
    <mergeCell ref="EK408:EL408"/>
    <mergeCell ref="EN408:EO408"/>
    <mergeCell ref="ER410:ES410"/>
    <mergeCell ref="ET410:EU410"/>
    <mergeCell ref="ER411:ES411"/>
    <mergeCell ref="ET411:EU411"/>
    <mergeCell ref="EP408:EQ408"/>
    <mergeCell ref="ER408:ES408"/>
    <mergeCell ref="ET408:EU408"/>
    <mergeCell ref="ER409:ES409"/>
    <mergeCell ref="ET409:EU409"/>
    <mergeCell ref="EP412:EQ412"/>
    <mergeCell ref="ER412:ES412"/>
    <mergeCell ref="ET412:EU412"/>
    <mergeCell ref="EV412:EW412"/>
    <mergeCell ref="ED412:EE412"/>
    <mergeCell ref="EG412:EH412"/>
    <mergeCell ref="EK412:EL412"/>
    <mergeCell ref="EN412:EO412"/>
    <mergeCell ref="EX412:EY412"/>
    <mergeCell ref="EZ412:FA412"/>
    <mergeCell ref="FC382:FD382"/>
    <mergeCell ref="FC383:FD383"/>
    <mergeCell ref="FC384:FD384"/>
    <mergeCell ref="FC385:FD385"/>
    <mergeCell ref="FC386:FD386"/>
    <mergeCell ref="FC387:FD387"/>
    <mergeCell ref="FC388:FD388"/>
    <mergeCell ref="FC389:FD389"/>
    <mergeCell ref="DO106:DP106"/>
    <mergeCell ref="FC390:FD390"/>
    <mergeCell ref="FC391:FD391"/>
    <mergeCell ref="FC392:FD392"/>
    <mergeCell ref="DO224:DP224"/>
    <mergeCell ref="DO225:DP225"/>
    <mergeCell ref="DO226:DP226"/>
    <mergeCell ref="EP392:EQ392"/>
    <mergeCell ref="ER392:ES392"/>
    <mergeCell ref="ET392:EU392"/>
    <mergeCell ref="ET130:EU130"/>
    <mergeCell ref="ED130:EE130"/>
    <mergeCell ref="EG130:EH130"/>
    <mergeCell ref="EK130:EL130"/>
    <mergeCell ref="EN130:EO130"/>
    <mergeCell ref="ET129:EU129"/>
    <mergeCell ref="ED129:EE129"/>
    <mergeCell ref="EG129:EH129"/>
    <mergeCell ref="EK129:EL129"/>
    <mergeCell ref="EN129:EO129"/>
  </mergeCells>
  <conditionalFormatting sqref="E35:E39 S42:V44 J35:J39 K37:K38 AB35:AB39 K35 L35:M38 F35:I38 R35:R39 X35:AA35 F42:I44 S35:V38 W35:W39 O36:Q38 K42:M44 O42:Q44 K27:AB27">
    <cfRule type="expression" priority="1" dxfId="55" stopIfTrue="1">
      <formula>$X$26=1</formula>
    </cfRule>
  </conditionalFormatting>
  <conditionalFormatting sqref="E30:I32 T30:AB32 E33:AB33 O35:Q35 E47:AB47 X42:AA44">
    <cfRule type="expression" priority="2" dxfId="46" stopIfTrue="1">
      <formula>$X$26=1</formula>
    </cfRule>
  </conditionalFormatting>
  <conditionalFormatting sqref="E28:AB29 J30:S32">
    <cfRule type="expression" priority="3" dxfId="83" stopIfTrue="1">
      <formula>$X$26=1</formula>
    </cfRule>
  </conditionalFormatting>
  <conditionalFormatting sqref="N35:N39">
    <cfRule type="expression" priority="4" dxfId="86" stopIfTrue="1">
      <formula>$X$26=1</formula>
    </cfRule>
  </conditionalFormatting>
  <conditionalFormatting sqref="F39:I39 K39:M39 O39:Q39 S39:V39 X39:AA39">
    <cfRule type="expression" priority="5" dxfId="86" stopIfTrue="1">
      <formula>$X$26=1</formula>
    </cfRule>
    <cfRule type="expression" priority="6" dxfId="86" stopIfTrue="1">
      <formula>$X$26=11</formula>
    </cfRule>
  </conditionalFormatting>
  <conditionalFormatting sqref="E25:G26">
    <cfRule type="expression" priority="7" dxfId="55" stopIfTrue="1">
      <formula>$X$26=1</formula>
    </cfRule>
    <cfRule type="expression" priority="8" dxfId="78" stopIfTrue="1">
      <formula>$X$26=11</formula>
    </cfRule>
  </conditionalFormatting>
  <conditionalFormatting sqref="X25:Z25">
    <cfRule type="expression" priority="9" dxfId="55" stopIfTrue="1">
      <formula>$X$26=1</formula>
    </cfRule>
    <cfRule type="expression" priority="10" dxfId="76" stopIfTrue="1">
      <formula>$X$26=11</formula>
    </cfRule>
  </conditionalFormatting>
  <conditionalFormatting sqref="E34:AB34 E46:R46 W46 AB46">
    <cfRule type="expression" priority="11" dxfId="69" stopIfTrue="1">
      <formula>$X$26=11</formula>
    </cfRule>
  </conditionalFormatting>
  <conditionalFormatting sqref="X36:AA36">
    <cfRule type="expression" priority="12" dxfId="46" stopIfTrue="1">
      <formula>$X$26=1</formula>
    </cfRule>
    <cfRule type="expression" priority="13" dxfId="45" stopIfTrue="1">
      <formula>$X$26=11</formula>
    </cfRule>
  </conditionalFormatting>
  <conditionalFormatting sqref="K36">
    <cfRule type="expression" priority="14" dxfId="55" stopIfTrue="1">
      <formula>$X$26=1</formula>
    </cfRule>
    <cfRule type="expression" priority="15" dxfId="45" stopIfTrue="1">
      <formula>$X$26=11</formula>
    </cfRule>
  </conditionalFormatting>
  <conditionalFormatting sqref="X46:AA46">
    <cfRule type="expression" priority="16" dxfId="55" stopIfTrue="1">
      <formula>$X$26=11</formula>
    </cfRule>
  </conditionalFormatting>
  <conditionalFormatting sqref="S46:V46">
    <cfRule type="expression" priority="17" dxfId="69" stopIfTrue="1">
      <formula>$X$26=11</formula>
    </cfRule>
  </conditionalFormatting>
  <conditionalFormatting sqref="E27:J27">
    <cfRule type="expression" priority="18" dxfId="55" stopIfTrue="1">
      <formula>$X$26=1</formula>
    </cfRule>
    <cfRule type="expression" priority="19" dxfId="87" stopIfTrue="1">
      <formula>$X$26=11</formula>
    </cfRule>
  </conditionalFormatting>
  <conditionalFormatting sqref="K25:W26">
    <cfRule type="expression" priority="20" dxfId="55" stopIfTrue="1">
      <formula>$X$26=1</formula>
    </cfRule>
    <cfRule type="expression" priority="21" dxfId="88" stopIfTrue="1">
      <formula>$X$26=11</formula>
    </cfRule>
  </conditionalFormatting>
  <conditionalFormatting sqref="X26:AB26">
    <cfRule type="cellIs" priority="22" dxfId="46" operator="equal" stopIfTrue="1">
      <formula>1</formula>
    </cfRule>
    <cfRule type="cellIs" priority="23" dxfId="89" operator="equal" stopIfTrue="1">
      <formula>11</formula>
    </cfRule>
  </conditionalFormatting>
  <conditionalFormatting sqref="E41:E45 J41:J44 R41:R44 W41:W44 AB41:AB44 F45:AB45">
    <cfRule type="expression" priority="24" dxfId="55" stopIfTrue="1">
      <formula>$X$26=1</formula>
    </cfRule>
    <cfRule type="expression" priority="25" dxfId="46" stopIfTrue="1">
      <formula>$X$26=21</formula>
    </cfRule>
  </conditionalFormatting>
  <conditionalFormatting sqref="F41:I41 K41:M41 O41:Q41 S41:V41 X41:AA41">
    <cfRule type="expression" priority="26" dxfId="90" stopIfTrue="1">
      <formula>$X$26=1</formula>
    </cfRule>
    <cfRule type="expression" priority="27" dxfId="46" stopIfTrue="1">
      <formula>$X$26=11</formula>
    </cfRule>
    <cfRule type="expression" priority="28" dxfId="46" stopIfTrue="1">
      <formula>$X$26=21</formula>
    </cfRule>
  </conditionalFormatting>
  <conditionalFormatting sqref="E40 J40 N40 R40 W40 AB40">
    <cfRule type="expression" priority="29" dxfId="55" stopIfTrue="1">
      <formula>$X$26=1</formula>
    </cfRule>
    <cfRule type="expression" priority="30" dxfId="56" stopIfTrue="1">
      <formula>$X$26=11</formula>
    </cfRule>
  </conditionalFormatting>
  <conditionalFormatting sqref="F40:I40 K40:M40 O40:Q40 S40:V40 X40:AA40">
    <cfRule type="expression" priority="31" dxfId="55" stopIfTrue="1">
      <formula>$X$26=1</formula>
    </cfRule>
    <cfRule type="expression" priority="32" dxfId="86" stopIfTrue="1">
      <formula>$X$26=11</formula>
    </cfRule>
  </conditionalFormatting>
  <conditionalFormatting sqref="N41:N44">
    <cfRule type="expression" priority="33" dxfId="91" stopIfTrue="1">
      <formula>$X$26=1</formula>
    </cfRule>
    <cfRule type="expression" priority="34" dxfId="86" stopIfTrue="1">
      <formula>$X$26=21</formula>
    </cfRule>
  </conditionalFormatting>
  <conditionalFormatting sqref="I57:J57 L57:M57">
    <cfRule type="cellIs" priority="35" dxfId="51" operator="equal" stopIfTrue="1">
      <formula>0</formula>
    </cfRule>
  </conditionalFormatting>
  <conditionalFormatting sqref="AH44:AL44">
    <cfRule type="expression" priority="36" dxfId="92" stopIfTrue="1">
      <formula>$AF$13&lt;&gt;""</formula>
    </cfRule>
  </conditionalFormatting>
  <conditionalFormatting sqref="F66:Q66">
    <cfRule type="cellIs" priority="37" dxfId="93" operator="notEqual" stopIfTrue="1">
      <formula>""</formula>
    </cfRule>
  </conditionalFormatting>
  <conditionalFormatting sqref="X37:AA37">
    <cfRule type="expression" priority="38" dxfId="46" stopIfTrue="1">
      <formula>OR($X$26=1,$X$37=0)</formula>
    </cfRule>
    <cfRule type="expression" priority="39" dxfId="45" stopIfTrue="1">
      <formula>$X$26=11</formula>
    </cfRule>
  </conditionalFormatting>
  <conditionalFormatting sqref="X38:AA38">
    <cfRule type="expression" priority="40" dxfId="46" stopIfTrue="1">
      <formula>OR($X$26=1,$X$38=0)</formula>
    </cfRule>
    <cfRule type="expression" priority="41" dxfId="45" stopIfTrue="1">
      <formula>$X$26=11</formula>
    </cfRule>
  </conditionalFormatting>
  <conditionalFormatting sqref="C421:C422 D420">
    <cfRule type="cellIs" priority="42" dxfId="44" operator="greaterThan" stopIfTrue="1">
      <formula>0</formula>
    </cfRule>
  </conditionalFormatting>
  <conditionalFormatting sqref="D421:D422">
    <cfRule type="cellIs" priority="43" dxfId="21" operator="greaterThan" stopIfTrue="1">
      <formula>0</formula>
    </cfRule>
  </conditionalFormatting>
  <conditionalFormatting sqref="E4:AB4">
    <cfRule type="expression" priority="44" dxfId="0" stopIfTrue="1">
      <formula>$C$421=0</formula>
    </cfRule>
  </conditionalFormatting>
  <conditionalFormatting sqref="C1:X1">
    <cfRule type="expression" priority="45" dxfId="6" stopIfTrue="1">
      <formula>OR($T$124=4,$C$382=0)</formula>
    </cfRule>
    <cfRule type="expression" priority="46" dxfId="5" stopIfTrue="1">
      <formula>$T$124=3</formula>
    </cfRule>
    <cfRule type="expression" priority="47" dxfId="4" stopIfTrue="1">
      <formula>OR($T$124=2,$T$124=5)</formula>
    </cfRule>
  </conditionalFormatting>
  <conditionalFormatting sqref="W16:W19 B3:D23 E6:AB6 E8:L8 M7:M9 N8:AB8 E10:AB10 S11:W12 S13:S14 AC3:AE23 B24:C76 AD24:AE76 E15:AA15 B2 AE2">
    <cfRule type="expression" priority="48" dxfId="0" stopIfTrue="1">
      <formula>$A$1=0</formula>
    </cfRule>
  </conditionalFormatting>
  <conditionalFormatting sqref="I3:AB3">
    <cfRule type="expression" priority="49" dxfId="0" stopIfTrue="1">
      <formula>$A$1=0</formula>
    </cfRule>
  </conditionalFormatting>
  <conditionalFormatting sqref="E5:AB5">
    <cfRule type="expression" priority="50" dxfId="94" stopIfTrue="1">
      <formula>$A$1=0</formula>
    </cfRule>
    <cfRule type="cellIs" priority="51" dxfId="35" operator="notEqual" stopIfTrue="1">
      <formula>0</formula>
    </cfRule>
  </conditionalFormatting>
  <conditionalFormatting sqref="E7:L7 E9:L9 E11:R12 E13:L14">
    <cfRule type="expression" priority="52" dxfId="95" stopIfTrue="1">
      <formula>$A$1=0</formula>
    </cfRule>
  </conditionalFormatting>
  <conditionalFormatting sqref="M13:R13">
    <cfRule type="expression" priority="53" dxfId="95" stopIfTrue="1">
      <formula>$A$1=0</formula>
    </cfRule>
    <cfRule type="expression" priority="54" dxfId="1" stopIfTrue="1">
      <formula>$D$421=0</formula>
    </cfRule>
  </conditionalFormatting>
  <conditionalFormatting sqref="M14:R14">
    <cfRule type="expression" priority="55" dxfId="95" stopIfTrue="1">
      <formula>$A$1=0</formula>
    </cfRule>
    <cfRule type="expression" priority="56" dxfId="1" stopIfTrue="1">
      <formula>$D$422=0</formula>
    </cfRule>
  </conditionalFormatting>
  <conditionalFormatting sqref="E23:AB23">
    <cfRule type="expression" priority="57" dxfId="0" stopIfTrue="1">
      <formula>$A$1=0</formula>
    </cfRule>
  </conditionalFormatting>
  <conditionalFormatting sqref="E16:V19">
    <cfRule type="expression" priority="58" dxfId="96" stopIfTrue="1">
      <formula>$A$1=0</formula>
    </cfRule>
  </conditionalFormatting>
  <conditionalFormatting sqref="X11:AB11 X16:AB19">
    <cfRule type="expression" priority="59" dxfId="97" stopIfTrue="1">
      <formula>$A$1=0</formula>
    </cfRule>
  </conditionalFormatting>
  <conditionalFormatting sqref="AB15">
    <cfRule type="expression" priority="60" dxfId="26" stopIfTrue="1">
      <formula>$A$1=0</formula>
    </cfRule>
    <cfRule type="expression" priority="61" dxfId="98" stopIfTrue="1">
      <formula>$BA$108&gt;90</formula>
    </cfRule>
  </conditionalFormatting>
  <conditionalFormatting sqref="N7:AB7">
    <cfRule type="expression" priority="62" dxfId="97" stopIfTrue="1">
      <formula>$A$1=0</formula>
    </cfRule>
    <cfRule type="expression" priority="63" dxfId="21" stopIfTrue="1">
      <formula>$AC$7=1</formula>
    </cfRule>
  </conditionalFormatting>
  <conditionalFormatting sqref="N9:AB9">
    <cfRule type="expression" priority="64" dxfId="97" stopIfTrue="1">
      <formula>$A$1=0</formula>
    </cfRule>
    <cfRule type="expression" priority="65" dxfId="21" stopIfTrue="1">
      <formula>$AC$9=1</formula>
    </cfRule>
  </conditionalFormatting>
  <conditionalFormatting sqref="X12:AB12">
    <cfRule type="expression" priority="66" dxfId="97" stopIfTrue="1">
      <formula>$A$1=0</formula>
    </cfRule>
    <cfRule type="expression" priority="67" dxfId="19" stopIfTrue="1">
      <formula>$E$12=""</formula>
    </cfRule>
  </conditionalFormatting>
  <conditionalFormatting sqref="X13:AB13">
    <cfRule type="expression" priority="68" dxfId="94" stopIfTrue="1">
      <formula>$A$1=0</formula>
    </cfRule>
    <cfRule type="expression" priority="69" dxfId="14" stopIfTrue="1">
      <formula>OR($D$421=0,$X$13&gt;=$X$14)</formula>
    </cfRule>
    <cfRule type="expression" priority="70" dxfId="7" stopIfTrue="1">
      <formula>$AC$13&gt;5</formula>
    </cfRule>
  </conditionalFormatting>
  <conditionalFormatting sqref="X14:AB14">
    <cfRule type="expression" priority="71" dxfId="97" stopIfTrue="1">
      <formula>$A$1=0</formula>
    </cfRule>
    <cfRule type="expression" priority="72" dxfId="14" stopIfTrue="1">
      <formula>$D$422=0</formula>
    </cfRule>
    <cfRule type="expression" priority="73" dxfId="7" stopIfTrue="1">
      <formula>$AC$14&gt;5</formula>
    </cfRule>
  </conditionalFormatting>
  <conditionalFormatting sqref="T13:W13">
    <cfRule type="expression" priority="74" dxfId="97" stopIfTrue="1">
      <formula>$A$1=0</formula>
    </cfRule>
    <cfRule type="expression" priority="75" dxfId="8" stopIfTrue="1">
      <formula>OR($D$421=0,$X$13&gt;=$X$14)</formula>
    </cfRule>
    <cfRule type="expression" priority="76" dxfId="7" stopIfTrue="1">
      <formula>$AC$13&gt;5</formula>
    </cfRule>
  </conditionalFormatting>
  <conditionalFormatting sqref="T14:W14">
    <cfRule type="expression" priority="77" dxfId="97" stopIfTrue="1">
      <formula>$A$1=0</formula>
    </cfRule>
    <cfRule type="expression" priority="78" dxfId="8" stopIfTrue="1">
      <formula>$D$422=0</formula>
    </cfRule>
    <cfRule type="expression" priority="79" dxfId="7" stopIfTrue="1">
      <formula>$AC$14&gt;5</formula>
    </cfRule>
  </conditionalFormatting>
  <conditionalFormatting sqref="B1 Y1:AD1">
    <cfRule type="expression" priority="80" dxfId="6" stopIfTrue="1">
      <formula>OR($T$124=4,$A$1=0)</formula>
    </cfRule>
    <cfRule type="expression" priority="81" dxfId="5" stopIfTrue="1">
      <formula>$T$124=3</formula>
    </cfRule>
    <cfRule type="expression" priority="82" dxfId="4" stopIfTrue="1">
      <formula>OR($T$124=2,$T$124=5)</formula>
    </cfRule>
  </conditionalFormatting>
  <conditionalFormatting sqref="E20:AB22">
    <cfRule type="expression" priority="83" dxfId="0" stopIfTrue="1">
      <formula>$A$1=0</formula>
    </cfRule>
    <cfRule type="expression" priority="84" dxfId="2" stopIfTrue="1">
      <formula>OR($D$421=0,$D$422=0)</formula>
    </cfRule>
    <cfRule type="expression" priority="85" dxfId="1" stopIfTrue="1">
      <formula>$BH$154&gt;0</formula>
    </cfRule>
  </conditionalFormatting>
  <conditionalFormatting sqref="C2:AD2 E3:H3">
    <cfRule type="expression" priority="86" dxfId="0" stopIfTrue="1">
      <formula>$A$1=0</formula>
    </cfRule>
  </conditionalFormatting>
  <dataValidations count="6">
    <dataValidation allowBlank="1" showErrorMessage="1" error="la data deve essere compresa fra il 01/01/2010 ed il 31/12/2016" sqref="X13"/>
    <dataValidation type="list" allowBlank="1" showInputMessage="1" showErrorMessage="1" sqref="N7:AB7">
      <formula1>$P$106:$P$115</formula1>
    </dataValidation>
    <dataValidation type="list" allowBlank="1" showInputMessage="1" showErrorMessage="1" sqref="N9:AB9">
      <formula1>$Z$106:$Z$136</formula1>
    </dataValidation>
    <dataValidation type="list" allowBlank="1" showInputMessage="1" sqref="X14:AB14">
      <formula1>$C$424:$C$483</formula1>
    </dataValidation>
    <dataValidation type="list" allowBlank="1" showInputMessage="1" showErrorMessage="1" error="scegliere un'opzione!" sqref="AH44:AL44">
      <formula1>$CR$314:$CY$314</formula1>
    </dataValidation>
    <dataValidation type="list" allowBlank="1" showInputMessage="1" showErrorMessage="1" sqref="AB15">
      <formula1>$C$144:$C$145</formula1>
    </dataValidation>
  </dataValidations>
  <hyperlinks>
    <hyperlink ref="AH10" r:id="rId1" display="clicca qui"/>
  </hyperlinks>
  <printOptions horizontalCentered="1"/>
  <pageMargins left="0.2" right="0.21" top="1.17" bottom="1" header="0.22" footer="0.34"/>
  <pageSetup firstPageNumber="1" useFirstPageNumber="1" fitToHeight="1" fitToWidth="1" horizontalDpi="600" verticalDpi="600" orientation="portrait" paperSize="9" r:id="rId4"/>
  <headerFooter alignWithMargins="0">
    <oddHeader>&amp;C&amp;"Trebuchet MS,Normale"&amp;8Piercarlo Schiavello - Dottore Commercialista e Revisore Legale in Roma
tel. 06 83.600.400 / 401 / 402  fax 06 70.11.955
web@studioschiavello.eu</oddHeader>
    <oddFooter>&amp;C&amp;8N.B.: lo Studio Piercarlo Schiavello non assume alcuna responsabilit� per qualsiasi inesattezza, omissione o
malfunzionamento degli strumenti software contenuti nel sito www.studioschiavello.eu</oddFooter>
  </headerFooter>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dc:creator>
  <cp:keywords/>
  <dc:description/>
  <cp:lastModifiedBy>Antonio -</cp:lastModifiedBy>
  <dcterms:created xsi:type="dcterms:W3CDTF">2020-01-28T13:56:43Z</dcterms:created>
  <dcterms:modified xsi:type="dcterms:W3CDTF">2020-01-28T13:59:42Z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